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20" yWindow="-120" windowWidth="23256" windowHeight="13176"/>
  </bookViews>
  <sheets>
    <sheet name="Бюджет 2019 год" sheetId="7" r:id="rId1"/>
    <sheet name="Бюджет 2018 год" sheetId="6" r:id="rId2"/>
    <sheet name="Бюджет 2017 год " sheetId="5" r:id="rId3"/>
    <sheet name="Бюджет 2016 год " sheetId="4" r:id="rId4"/>
    <sheet name="Бюджет 2015 год" sheetId="3" r:id="rId5"/>
  </sheets>
  <definedNames>
    <definedName name="APPT" localSheetId="4">'Бюджет 2015 год'!#REF!</definedName>
    <definedName name="APPT" localSheetId="3">'Бюджет 2016 год '!#REF!</definedName>
    <definedName name="APPT" localSheetId="2">'Бюджет 2017 год '!#REF!</definedName>
    <definedName name="APPT" localSheetId="1">'Бюджет 2018 год'!#REF!</definedName>
    <definedName name="APPT" localSheetId="0">'Бюджет 2019 год'!#REF!</definedName>
    <definedName name="FIO" localSheetId="4">'Бюджет 2015 год'!$B$12</definedName>
    <definedName name="FIO" localSheetId="3">'Бюджет 2016 год '!$B$13</definedName>
    <definedName name="FIO" localSheetId="2">'Бюджет 2017 год '!$B$13</definedName>
    <definedName name="FIO" localSheetId="1">'Бюджет 2018 год'!$B$13</definedName>
    <definedName name="FIO" localSheetId="0">'Бюджет 2019 год'!#REF!</definedName>
    <definedName name="SIGN" localSheetId="4">'Бюджет 2015 год'!$A$12:$C$13</definedName>
    <definedName name="SIGN" localSheetId="3">'Бюджет 2016 год '!$A$13:$C$14</definedName>
    <definedName name="SIGN" localSheetId="2">'Бюджет 2017 год '!$A$13:$C$14</definedName>
    <definedName name="SIGN" localSheetId="1">'Бюджет 2018 год'!$A$13:$C$14</definedName>
    <definedName name="SIGN" localSheetId="0">'Бюджет 2019 год'!#REF!</definedName>
    <definedName name="_xlnm.Print_Area" localSheetId="4">'Бюджет 2015 год'!$A$1:$F$59</definedName>
    <definedName name="_xlnm.Print_Area" localSheetId="3">'Бюджет 2016 год '!$A$1:$F$67</definedName>
    <definedName name="_xlnm.Print_Area" localSheetId="2">'Бюджет 2017 год '!$A$1:$F$71</definedName>
    <definedName name="_xlnm.Print_Area" localSheetId="1">'Бюджет 2018 год'!$A$1:$F$66</definedName>
    <definedName name="_xlnm.Print_Area" localSheetId="0">'Бюджет 2019 год'!$A$1:$F$60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0" i="7"/>
  <c r="D50"/>
  <c r="B50"/>
  <c r="C43"/>
  <c r="D43"/>
  <c r="B43"/>
  <c r="C33"/>
  <c r="D33"/>
  <c r="B33"/>
  <c r="C28"/>
  <c r="F28" s="1"/>
  <c r="D28"/>
  <c r="E28" s="1"/>
  <c r="B28"/>
  <c r="B17"/>
  <c r="E35"/>
  <c r="F35"/>
  <c r="E36"/>
  <c r="F36"/>
  <c r="E37"/>
  <c r="F37"/>
  <c r="E38"/>
  <c r="F38"/>
  <c r="E30"/>
  <c r="F30"/>
  <c r="E31"/>
  <c r="F31"/>
  <c r="E19"/>
  <c r="F19"/>
  <c r="E20"/>
  <c r="F20"/>
  <c r="E21"/>
  <c r="F21"/>
  <c r="C17"/>
  <c r="D17"/>
  <c r="B51" l="1"/>
  <c r="E9"/>
  <c r="F9"/>
  <c r="E10"/>
  <c r="F10"/>
  <c r="E11"/>
  <c r="F11"/>
  <c r="E12"/>
  <c r="F12"/>
  <c r="E13"/>
  <c r="F13"/>
  <c r="E14"/>
  <c r="F14"/>
  <c r="E15"/>
  <c r="F15"/>
  <c r="E16"/>
  <c r="F16"/>
  <c r="E49" l="1"/>
  <c r="F49"/>
  <c r="E48"/>
  <c r="F48"/>
  <c r="E47"/>
  <c r="F47"/>
  <c r="E46"/>
  <c r="F45"/>
  <c r="E42"/>
  <c r="F42"/>
  <c r="E41"/>
  <c r="F41"/>
  <c r="E40"/>
  <c r="F40"/>
  <c r="E39"/>
  <c r="F32"/>
  <c r="E27"/>
  <c r="F27"/>
  <c r="E26"/>
  <c r="F26"/>
  <c r="E25"/>
  <c r="F25"/>
  <c r="E24"/>
  <c r="F24"/>
  <c r="E23"/>
  <c r="F23"/>
  <c r="F22"/>
  <c r="F43" l="1"/>
  <c r="E33"/>
  <c r="E50"/>
  <c r="E43"/>
  <c r="F33"/>
  <c r="E32"/>
  <c r="F39"/>
  <c r="E45"/>
  <c r="E22"/>
  <c r="F46"/>
  <c r="D29" i="6"/>
  <c r="C29"/>
  <c r="B29"/>
  <c r="D55"/>
  <c r="D54"/>
  <c r="D53"/>
  <c r="D52"/>
  <c r="D51"/>
  <c r="D48"/>
  <c r="D47"/>
  <c r="D46"/>
  <c r="D45"/>
  <c r="D44"/>
  <c r="D43"/>
  <c r="D42"/>
  <c r="D41"/>
  <c r="D40"/>
  <c r="F33"/>
  <c r="D37"/>
  <c r="D36"/>
  <c r="D38" s="1"/>
  <c r="D33"/>
  <c r="D32"/>
  <c r="D31"/>
  <c r="D30"/>
  <c r="D28"/>
  <c r="D27"/>
  <c r="D26"/>
  <c r="D25"/>
  <c r="D22"/>
  <c r="D21"/>
  <c r="D20"/>
  <c r="D19"/>
  <c r="D18"/>
  <c r="D17"/>
  <c r="D16"/>
  <c r="D15"/>
  <c r="D14"/>
  <c r="D13"/>
  <c r="D12"/>
  <c r="D11"/>
  <c r="D10"/>
  <c r="D9"/>
  <c r="C55"/>
  <c r="C54"/>
  <c r="C53"/>
  <c r="C52"/>
  <c r="C51"/>
  <c r="C48"/>
  <c r="C47"/>
  <c r="C46"/>
  <c r="C45"/>
  <c r="C44"/>
  <c r="C43"/>
  <c r="C42"/>
  <c r="C41"/>
  <c r="C40"/>
  <c r="B55"/>
  <c r="B54"/>
  <c r="B53"/>
  <c r="B52"/>
  <c r="B51"/>
  <c r="B48"/>
  <c r="B47"/>
  <c r="B46"/>
  <c r="B45"/>
  <c r="B44"/>
  <c r="B43"/>
  <c r="B42"/>
  <c r="B41"/>
  <c r="B40"/>
  <c r="C37"/>
  <c r="C36"/>
  <c r="B37"/>
  <c r="F37" s="1"/>
  <c r="B36"/>
  <c r="B38" s="1"/>
  <c r="C33"/>
  <c r="C32"/>
  <c r="C31"/>
  <c r="C30"/>
  <c r="C28"/>
  <c r="C27"/>
  <c r="C26"/>
  <c r="C25"/>
  <c r="B33"/>
  <c r="B32"/>
  <c r="B31"/>
  <c r="B30"/>
  <c r="B28"/>
  <c r="B27"/>
  <c r="B26"/>
  <c r="B25"/>
  <c r="C22"/>
  <c r="C21"/>
  <c r="C20"/>
  <c r="C19"/>
  <c r="C18"/>
  <c r="C17"/>
  <c r="C16"/>
  <c r="C15"/>
  <c r="C14"/>
  <c r="C13"/>
  <c r="B22"/>
  <c r="B21"/>
  <c r="B20"/>
  <c r="B19"/>
  <c r="B18"/>
  <c r="B17"/>
  <c r="B16"/>
  <c r="B15"/>
  <c r="B14"/>
  <c r="B13"/>
  <c r="C12"/>
  <c r="B12"/>
  <c r="C11"/>
  <c r="B11"/>
  <c r="C10"/>
  <c r="B10"/>
  <c r="C9"/>
  <c r="B9"/>
  <c r="B34" l="1"/>
  <c r="F34" s="1"/>
  <c r="B23"/>
  <c r="C34"/>
  <c r="B49"/>
  <c r="E20"/>
  <c r="F21"/>
  <c r="F20"/>
  <c r="D51" i="7"/>
  <c r="E51" s="1"/>
  <c r="F50"/>
  <c r="C51"/>
  <c r="E21" i="6"/>
  <c r="C23"/>
  <c r="B56"/>
  <c r="B57" s="1"/>
  <c r="D23"/>
  <c r="E22"/>
  <c r="E33"/>
  <c r="F36"/>
  <c r="D34"/>
  <c r="E34" s="1"/>
  <c r="E36"/>
  <c r="F22"/>
  <c r="E37"/>
  <c r="E38"/>
  <c r="C38"/>
  <c r="F38" s="1"/>
  <c r="F29"/>
  <c r="E29"/>
  <c r="F51" i="7" l="1"/>
  <c r="F54" i="6"/>
  <c r="E47"/>
  <c r="E45"/>
  <c r="E32"/>
  <c r="E30"/>
  <c r="F30"/>
  <c r="E28"/>
  <c r="F28"/>
  <c r="E27"/>
  <c r="E26"/>
  <c r="E25"/>
  <c r="F25"/>
  <c r="E19"/>
  <c r="F19"/>
  <c r="E18"/>
  <c r="F18"/>
  <c r="E17"/>
  <c r="F17"/>
  <c r="E16"/>
  <c r="F16"/>
  <c r="E15"/>
  <c r="F15"/>
  <c r="E14"/>
  <c r="F14"/>
  <c r="E13"/>
  <c r="F13"/>
  <c r="E12"/>
  <c r="E11"/>
  <c r="F11"/>
  <c r="E10"/>
  <c r="F10"/>
  <c r="E9"/>
  <c r="D67" i="5"/>
  <c r="C67"/>
  <c r="B67"/>
  <c r="F67" s="1"/>
  <c r="D66"/>
  <c r="C66"/>
  <c r="B66"/>
  <c r="D65"/>
  <c r="C65"/>
  <c r="B65"/>
  <c r="D64"/>
  <c r="C64"/>
  <c r="B64"/>
  <c r="D63"/>
  <c r="C63"/>
  <c r="B63"/>
  <c r="D62"/>
  <c r="C62"/>
  <c r="B62"/>
  <c r="D61"/>
  <c r="C61"/>
  <c r="B61"/>
  <c r="D60"/>
  <c r="C60"/>
  <c r="B60"/>
  <c r="D59"/>
  <c r="C59"/>
  <c r="F59" s="1"/>
  <c r="B59"/>
  <c r="D56"/>
  <c r="C56"/>
  <c r="B56"/>
  <c r="E56" s="1"/>
  <c r="D55"/>
  <c r="C55"/>
  <c r="B55"/>
  <c r="F55" s="1"/>
  <c r="D54"/>
  <c r="C54"/>
  <c r="B54"/>
  <c r="E54" s="1"/>
  <c r="D53"/>
  <c r="C53"/>
  <c r="B53"/>
  <c r="D52"/>
  <c r="C52"/>
  <c r="B52"/>
  <c r="E52" s="1"/>
  <c r="D51"/>
  <c r="C51"/>
  <c r="B51"/>
  <c r="F51" s="1"/>
  <c r="D50"/>
  <c r="C50"/>
  <c r="B50"/>
  <c r="D49"/>
  <c r="C49"/>
  <c r="B49"/>
  <c r="D48"/>
  <c r="C48"/>
  <c r="B48"/>
  <c r="E48" s="1"/>
  <c r="D47"/>
  <c r="C47"/>
  <c r="B47"/>
  <c r="E47" s="1"/>
  <c r="D46"/>
  <c r="C46"/>
  <c r="B46"/>
  <c r="F46" s="1"/>
  <c r="D45"/>
  <c r="C45"/>
  <c r="B45"/>
  <c r="D44"/>
  <c r="C44"/>
  <c r="B44"/>
  <c r="D43"/>
  <c r="C43"/>
  <c r="B43"/>
  <c r="F43" s="1"/>
  <c r="D42"/>
  <c r="C42"/>
  <c r="B42"/>
  <c r="E42" s="1"/>
  <c r="D41"/>
  <c r="C41"/>
  <c r="B41"/>
  <c r="D40"/>
  <c r="C40"/>
  <c r="B40"/>
  <c r="D37"/>
  <c r="C37"/>
  <c r="B37"/>
  <c r="F37" s="1"/>
  <c r="D36"/>
  <c r="C36"/>
  <c r="B36"/>
  <c r="D35"/>
  <c r="C35"/>
  <c r="B35"/>
  <c r="D34"/>
  <c r="C34"/>
  <c r="B34"/>
  <c r="D33"/>
  <c r="C33"/>
  <c r="B33"/>
  <c r="D32"/>
  <c r="C32"/>
  <c r="B32"/>
  <c r="E32" s="1"/>
  <c r="D31"/>
  <c r="C31"/>
  <c r="B31"/>
  <c r="D30"/>
  <c r="C30"/>
  <c r="B30"/>
  <c r="D29"/>
  <c r="C29"/>
  <c r="B29"/>
  <c r="D28"/>
  <c r="C28"/>
  <c r="B28"/>
  <c r="D27"/>
  <c r="C27"/>
  <c r="B27"/>
  <c r="D26"/>
  <c r="C26"/>
  <c r="B26"/>
  <c r="E26" s="1"/>
  <c r="D25"/>
  <c r="C25"/>
  <c r="B25"/>
  <c r="D24"/>
  <c r="C24"/>
  <c r="B24"/>
  <c r="D23"/>
  <c r="C23"/>
  <c r="F23" s="1"/>
  <c r="B23"/>
  <c r="D22"/>
  <c r="C22"/>
  <c r="B22"/>
  <c r="D19"/>
  <c r="C19"/>
  <c r="B19"/>
  <c r="D18"/>
  <c r="C18"/>
  <c r="B18"/>
  <c r="D17"/>
  <c r="C17"/>
  <c r="B17"/>
  <c r="D16"/>
  <c r="C16"/>
  <c r="B16"/>
  <c r="E16" s="1"/>
  <c r="D15"/>
  <c r="B15"/>
  <c r="D14"/>
  <c r="E14" s="1"/>
  <c r="C14"/>
  <c r="C15"/>
  <c r="B14"/>
  <c r="D13"/>
  <c r="C13"/>
  <c r="F13" s="1"/>
  <c r="B13"/>
  <c r="D12"/>
  <c r="C12"/>
  <c r="B12"/>
  <c r="E12" s="1"/>
  <c r="D11"/>
  <c r="C11"/>
  <c r="B11"/>
  <c r="E11" s="1"/>
  <c r="D10"/>
  <c r="C10"/>
  <c r="B10"/>
  <c r="F10" s="1"/>
  <c r="D9"/>
  <c r="C9"/>
  <c r="B9"/>
  <c r="F54"/>
  <c r="E66"/>
  <c r="F42"/>
  <c r="F50"/>
  <c r="F60"/>
  <c r="F64"/>
  <c r="F18"/>
  <c r="E15"/>
  <c r="F15"/>
  <c r="D22" i="4"/>
  <c r="C22"/>
  <c r="B22"/>
  <c r="D61"/>
  <c r="D60"/>
  <c r="D59"/>
  <c r="D58"/>
  <c r="D57"/>
  <c r="D56"/>
  <c r="D55"/>
  <c r="C61"/>
  <c r="C60"/>
  <c r="C59"/>
  <c r="C58"/>
  <c r="C57"/>
  <c r="C56"/>
  <c r="C55"/>
  <c r="B61"/>
  <c r="B60"/>
  <c r="B59"/>
  <c r="B58"/>
  <c r="B57"/>
  <c r="B56"/>
  <c r="B55"/>
  <c r="D52"/>
  <c r="D51"/>
  <c r="D50"/>
  <c r="D49"/>
  <c r="D48"/>
  <c r="D47"/>
  <c r="D46"/>
  <c r="D45"/>
  <c r="D44"/>
  <c r="D43"/>
  <c r="D42"/>
  <c r="C52"/>
  <c r="C51"/>
  <c r="C50"/>
  <c r="C49"/>
  <c r="C48"/>
  <c r="C47"/>
  <c r="C46"/>
  <c r="C45"/>
  <c r="C44"/>
  <c r="C43"/>
  <c r="C42"/>
  <c r="B52"/>
  <c r="B51"/>
  <c r="B50"/>
  <c r="B49"/>
  <c r="B48"/>
  <c r="B47"/>
  <c r="B46"/>
  <c r="B45"/>
  <c r="B44"/>
  <c r="B43"/>
  <c r="B42"/>
  <c r="D39"/>
  <c r="D38"/>
  <c r="D37"/>
  <c r="D36"/>
  <c r="D35"/>
  <c r="D34"/>
  <c r="D33"/>
  <c r="D32"/>
  <c r="D31"/>
  <c r="D30"/>
  <c r="D29"/>
  <c r="D28"/>
  <c r="D27"/>
  <c r="D26"/>
  <c r="D25"/>
  <c r="C39"/>
  <c r="C38"/>
  <c r="C37"/>
  <c r="C36"/>
  <c r="C35"/>
  <c r="C34"/>
  <c r="C33"/>
  <c r="C32"/>
  <c r="C31"/>
  <c r="C30"/>
  <c r="C29"/>
  <c r="C28"/>
  <c r="C27"/>
  <c r="C26"/>
  <c r="C25"/>
  <c r="B39"/>
  <c r="E39" s="1"/>
  <c r="B38"/>
  <c r="B37"/>
  <c r="B36"/>
  <c r="B35"/>
  <c r="E35" s="1"/>
  <c r="B34"/>
  <c r="F34" s="1"/>
  <c r="B33"/>
  <c r="B32"/>
  <c r="B31"/>
  <c r="B30"/>
  <c r="B29"/>
  <c r="B28"/>
  <c r="B27"/>
  <c r="B26"/>
  <c r="B25"/>
  <c r="D21"/>
  <c r="D20"/>
  <c r="D19"/>
  <c r="D18"/>
  <c r="D17"/>
  <c r="D16"/>
  <c r="D15"/>
  <c r="D14"/>
  <c r="D13"/>
  <c r="D12"/>
  <c r="D11"/>
  <c r="C21"/>
  <c r="C20"/>
  <c r="C19"/>
  <c r="C18"/>
  <c r="C17"/>
  <c r="C16"/>
  <c r="C15"/>
  <c r="C14"/>
  <c r="C13"/>
  <c r="C12"/>
  <c r="C11"/>
  <c r="B21"/>
  <c r="B20"/>
  <c r="B19"/>
  <c r="B18"/>
  <c r="B17"/>
  <c r="B16"/>
  <c r="B15"/>
  <c r="B14"/>
  <c r="B13"/>
  <c r="B12"/>
  <c r="B11"/>
  <c r="D10"/>
  <c r="C10"/>
  <c r="B10"/>
  <c r="D9"/>
  <c r="C9"/>
  <c r="B9"/>
  <c r="F27" i="5" l="1"/>
  <c r="F49"/>
  <c r="F53"/>
  <c r="E9"/>
  <c r="E13"/>
  <c r="E17"/>
  <c r="E27"/>
  <c r="E35"/>
  <c r="E41"/>
  <c r="E45"/>
  <c r="E49"/>
  <c r="E53"/>
  <c r="E59"/>
  <c r="E67"/>
  <c r="F45"/>
  <c r="F17"/>
  <c r="F41"/>
  <c r="F44"/>
  <c r="F62"/>
  <c r="E51"/>
  <c r="E10"/>
  <c r="F14"/>
  <c r="E18"/>
  <c r="E28"/>
  <c r="E46"/>
  <c r="F12"/>
  <c r="F52"/>
  <c r="F56"/>
  <c r="B68"/>
  <c r="F66"/>
  <c r="F11"/>
  <c r="E55"/>
  <c r="D20"/>
  <c r="E40"/>
  <c r="E44"/>
  <c r="F16"/>
  <c r="F40"/>
  <c r="F48"/>
  <c r="E21" i="4"/>
  <c r="F39"/>
  <c r="F42" i="6"/>
  <c r="F43"/>
  <c r="F46"/>
  <c r="E43"/>
  <c r="C56"/>
  <c r="E41"/>
  <c r="E46"/>
  <c r="D56"/>
  <c r="F53"/>
  <c r="F47"/>
  <c r="E48"/>
  <c r="E52"/>
  <c r="E54"/>
  <c r="E42"/>
  <c r="F55"/>
  <c r="F31"/>
  <c r="F32"/>
  <c r="D49"/>
  <c r="F44"/>
  <c r="F45"/>
  <c r="E55"/>
  <c r="F26"/>
  <c r="F27"/>
  <c r="E31"/>
  <c r="F40"/>
  <c r="C49"/>
  <c r="E44"/>
  <c r="F48"/>
  <c r="E53"/>
  <c r="F23"/>
  <c r="E23"/>
  <c r="F41"/>
  <c r="E51"/>
  <c r="F12"/>
  <c r="F51"/>
  <c r="F9"/>
  <c r="E40"/>
  <c r="F52"/>
  <c r="B38" i="5"/>
  <c r="E61"/>
  <c r="E43"/>
  <c r="B57"/>
  <c r="C20"/>
  <c r="F20" s="1"/>
  <c r="D68"/>
  <c r="E68" s="1"/>
  <c r="B20"/>
  <c r="F47"/>
  <c r="C57"/>
  <c r="D38"/>
  <c r="E50"/>
  <c r="F63"/>
  <c r="C68"/>
  <c r="D57"/>
  <c r="E37"/>
  <c r="E36"/>
  <c r="C38"/>
  <c r="F19"/>
  <c r="E19"/>
  <c r="E64"/>
  <c r="F29"/>
  <c r="F24"/>
  <c r="E25"/>
  <c r="E30"/>
  <c r="E34"/>
  <c r="E62"/>
  <c r="E60"/>
  <c r="E24"/>
  <c r="F31"/>
  <c r="F32"/>
  <c r="E33"/>
  <c r="F35"/>
  <c r="F61"/>
  <c r="E23"/>
  <c r="F28"/>
  <c r="E31"/>
  <c r="F36"/>
  <c r="F65"/>
  <c r="F30"/>
  <c r="E22"/>
  <c r="F25"/>
  <c r="F26"/>
  <c r="E29"/>
  <c r="F33"/>
  <c r="F34"/>
  <c r="E63"/>
  <c r="E65"/>
  <c r="F9"/>
  <c r="F22"/>
  <c r="E32" i="4"/>
  <c r="E36"/>
  <c r="F37"/>
  <c r="E38"/>
  <c r="F21"/>
  <c r="E29"/>
  <c r="F30"/>
  <c r="E31"/>
  <c r="F29"/>
  <c r="F36"/>
  <c r="F32"/>
  <c r="D40"/>
  <c r="E37"/>
  <c r="E22"/>
  <c r="F22"/>
  <c r="B62"/>
  <c r="E33"/>
  <c r="E30"/>
  <c r="E34"/>
  <c r="F38"/>
  <c r="F35"/>
  <c r="F31"/>
  <c r="C40"/>
  <c r="F33"/>
  <c r="B40"/>
  <c r="F57" i="5" l="1"/>
  <c r="E20"/>
  <c r="E38"/>
  <c r="B69"/>
  <c r="E57"/>
  <c r="D57" i="6"/>
  <c r="C57"/>
  <c r="F56"/>
  <c r="F49"/>
  <c r="E56"/>
  <c r="E49"/>
  <c r="C69" i="5"/>
  <c r="F69" s="1"/>
  <c r="D69"/>
  <c r="F38"/>
  <c r="F68"/>
  <c r="E40" i="4"/>
  <c r="E69" i="5" l="1"/>
  <c r="E57" i="6"/>
  <c r="F57"/>
  <c r="C23" i="4"/>
  <c r="D23"/>
  <c r="B23"/>
  <c r="E60"/>
  <c r="F59"/>
  <c r="E55"/>
  <c r="E51"/>
  <c r="E50"/>
  <c r="F50"/>
  <c r="E46"/>
  <c r="F46"/>
  <c r="E44"/>
  <c r="F44"/>
  <c r="F42"/>
  <c r="E27"/>
  <c r="F27"/>
  <c r="F26"/>
  <c r="E20"/>
  <c r="F20"/>
  <c r="F19"/>
  <c r="E18"/>
  <c r="F18"/>
  <c r="E17"/>
  <c r="F17"/>
  <c r="E16"/>
  <c r="F16"/>
  <c r="E15"/>
  <c r="E14"/>
  <c r="F14"/>
  <c r="E13"/>
  <c r="F13"/>
  <c r="E12"/>
  <c r="F12"/>
  <c r="F11"/>
  <c r="E10"/>
  <c r="F10"/>
  <c r="E9"/>
  <c r="F9"/>
  <c r="D50" i="3"/>
  <c r="D51"/>
  <c r="D52"/>
  <c r="D53"/>
  <c r="D54"/>
  <c r="D55"/>
  <c r="D56"/>
  <c r="D57"/>
  <c r="C57"/>
  <c r="C56"/>
  <c r="C55"/>
  <c r="C54"/>
  <c r="C53"/>
  <c r="C52"/>
  <c r="C51"/>
  <c r="C50"/>
  <c r="D33"/>
  <c r="D34"/>
  <c r="D35"/>
  <c r="D36"/>
  <c r="D37"/>
  <c r="D38"/>
  <c r="D39"/>
  <c r="D40"/>
  <c r="D41"/>
  <c r="D42"/>
  <c r="D43"/>
  <c r="D44"/>
  <c r="D45"/>
  <c r="D46"/>
  <c r="D47"/>
  <c r="C47"/>
  <c r="C46"/>
  <c r="C45"/>
  <c r="C44"/>
  <c r="C43"/>
  <c r="C42"/>
  <c r="C41"/>
  <c r="C40"/>
  <c r="C39"/>
  <c r="C38"/>
  <c r="C37"/>
  <c r="C36"/>
  <c r="C35"/>
  <c r="C34"/>
  <c r="C33"/>
  <c r="D8"/>
  <c r="D9"/>
  <c r="D10"/>
  <c r="D11"/>
  <c r="D12"/>
  <c r="D13"/>
  <c r="D14"/>
  <c r="D15"/>
  <c r="D16"/>
  <c r="D17"/>
  <c r="D18"/>
  <c r="D19"/>
  <c r="D22"/>
  <c r="D23"/>
  <c r="D24"/>
  <c r="D25"/>
  <c r="D26"/>
  <c r="D27"/>
  <c r="D28"/>
  <c r="D29"/>
  <c r="D30"/>
  <c r="E30" s="1"/>
  <c r="C30"/>
  <c r="C29"/>
  <c r="C28"/>
  <c r="F28" s="1"/>
  <c r="C27"/>
  <c r="C26"/>
  <c r="C25"/>
  <c r="C24"/>
  <c r="C23"/>
  <c r="C22"/>
  <c r="C19"/>
  <c r="C18"/>
  <c r="C17"/>
  <c r="C16"/>
  <c r="C15"/>
  <c r="C14"/>
  <c r="C13"/>
  <c r="C12"/>
  <c r="C11"/>
  <c r="C10"/>
  <c r="B57"/>
  <c r="B56"/>
  <c r="B55"/>
  <c r="B54"/>
  <c r="B53"/>
  <c r="B52"/>
  <c r="E52" s="1"/>
  <c r="B51"/>
  <c r="B50"/>
  <c r="B47"/>
  <c r="B46"/>
  <c r="B45"/>
  <c r="E45" s="1"/>
  <c r="B44"/>
  <c r="F44" s="1"/>
  <c r="B43"/>
  <c r="B42"/>
  <c r="B41"/>
  <c r="B40"/>
  <c r="B39"/>
  <c r="B38"/>
  <c r="B37"/>
  <c r="B36"/>
  <c r="B35"/>
  <c r="B34"/>
  <c r="B33"/>
  <c r="B30"/>
  <c r="F30" s="1"/>
  <c r="B29"/>
  <c r="B28"/>
  <c r="B27"/>
  <c r="F27" s="1"/>
  <c r="B26"/>
  <c r="B25"/>
  <c r="B24"/>
  <c r="B23"/>
  <c r="B22"/>
  <c r="B19"/>
  <c r="B18"/>
  <c r="B17"/>
  <c r="B16"/>
  <c r="B15"/>
  <c r="B14"/>
  <c r="B13"/>
  <c r="B12"/>
  <c r="B11"/>
  <c r="B10"/>
  <c r="C9"/>
  <c r="B9"/>
  <c r="C8"/>
  <c r="B8"/>
  <c r="E8" s="1"/>
  <c r="E54"/>
  <c r="E42"/>
  <c r="E47" l="1"/>
  <c r="F38"/>
  <c r="F15"/>
  <c r="F34"/>
  <c r="E16"/>
  <c r="F24"/>
  <c r="E41"/>
  <c r="E50"/>
  <c r="F10"/>
  <c r="E38"/>
  <c r="F56"/>
  <c r="E33"/>
  <c r="E11"/>
  <c r="E15"/>
  <c r="E19"/>
  <c r="B58"/>
  <c r="F18"/>
  <c r="E14"/>
  <c r="E18"/>
  <c r="E24"/>
  <c r="F42"/>
  <c r="F46"/>
  <c r="F29"/>
  <c r="F53"/>
  <c r="F57"/>
  <c r="F17"/>
  <c r="F14"/>
  <c r="E29"/>
  <c r="F45"/>
  <c r="F11"/>
  <c r="F16"/>
  <c r="F26"/>
  <c r="E9"/>
  <c r="F35"/>
  <c r="F43"/>
  <c r="F47"/>
  <c r="E44"/>
  <c r="E40"/>
  <c r="E36"/>
  <c r="F54"/>
  <c r="E26"/>
  <c r="F40"/>
  <c r="F51"/>
  <c r="E56"/>
  <c r="E59" i="4"/>
  <c r="F43"/>
  <c r="F48"/>
  <c r="F57"/>
  <c r="F28"/>
  <c r="D53"/>
  <c r="E43"/>
  <c r="B53"/>
  <c r="B63" s="1"/>
  <c r="F47"/>
  <c r="E48"/>
  <c r="F52"/>
  <c r="C62"/>
  <c r="F62" s="1"/>
  <c r="F56"/>
  <c r="E57"/>
  <c r="F61"/>
  <c r="E28"/>
  <c r="E42"/>
  <c r="E47"/>
  <c r="F49"/>
  <c r="F51"/>
  <c r="E52"/>
  <c r="D62"/>
  <c r="E62" s="1"/>
  <c r="E56"/>
  <c r="F58"/>
  <c r="F60"/>
  <c r="E61"/>
  <c r="F15"/>
  <c r="E11"/>
  <c r="E19"/>
  <c r="F23"/>
  <c r="F25"/>
  <c r="E26"/>
  <c r="E45"/>
  <c r="E49"/>
  <c r="E58"/>
  <c r="E23"/>
  <c r="F45"/>
  <c r="C53"/>
  <c r="F55"/>
  <c r="E25"/>
  <c r="C20" i="3"/>
  <c r="F39"/>
  <c r="F52"/>
  <c r="F9"/>
  <c r="F13"/>
  <c r="F23"/>
  <c r="F37"/>
  <c r="F41"/>
  <c r="F55"/>
  <c r="F25"/>
  <c r="E28"/>
  <c r="E10"/>
  <c r="E37"/>
  <c r="F12"/>
  <c r="D48"/>
  <c r="E55"/>
  <c r="E51"/>
  <c r="F19"/>
  <c r="F36"/>
  <c r="C48"/>
  <c r="E43"/>
  <c r="E39"/>
  <c r="E35"/>
  <c r="E27"/>
  <c r="E23"/>
  <c r="E17"/>
  <c r="E13"/>
  <c r="E57"/>
  <c r="E53"/>
  <c r="E34"/>
  <c r="E25"/>
  <c r="B48"/>
  <c r="F48" s="1"/>
  <c r="E46"/>
  <c r="E12"/>
  <c r="F8"/>
  <c r="B20"/>
  <c r="F33"/>
  <c r="F50"/>
  <c r="E22"/>
  <c r="C31"/>
  <c r="D31"/>
  <c r="B31"/>
  <c r="C58"/>
  <c r="D20"/>
  <c r="D58"/>
  <c r="F22"/>
  <c r="E48" l="1"/>
  <c r="F53" i="4"/>
  <c r="E53"/>
  <c r="C63"/>
  <c r="F63" s="1"/>
  <c r="F40"/>
  <c r="D63"/>
  <c r="E63" s="1"/>
  <c r="F20" i="3"/>
  <c r="C59"/>
  <c r="D59"/>
  <c r="B59"/>
  <c r="E58"/>
  <c r="F31"/>
  <c r="F58"/>
  <c r="E31"/>
  <c r="E20"/>
  <c r="F59" l="1"/>
  <c r="E59"/>
</calcChain>
</file>

<file path=xl/sharedStrings.xml><?xml version="1.0" encoding="utf-8"?>
<sst xmlns="http://schemas.openxmlformats.org/spreadsheetml/2006/main" count="324" uniqueCount="180">
  <si>
    <t>Обеспечение деятельности (оказание услуг) подведомственных учреждений в рамках подпрограммы «Развитие общего и дополнительного образования» муниципальной программы города Канска «Развитие образования»</t>
  </si>
  <si>
    <t>Обеспечение деятельности (оказание услуг) подведомственных учреждений за счёт средств от приносящей доход деятельности в рамках подпрограммы «Развитие общего и дополнительного образования» муниципальной программы города Канска «Развитие образования»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</si>
  <si>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общего и дополнительного образования» муниципальной программы города Канска «Развитие образования»</t>
  </si>
  <si>
    <t>Обеспечение выделения денежных средств на осуществление присмотра и ухода за детьми-инвалидами, детьми-сиротами и детьми, оставшимся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общего и дополнительного образования» муниципальной программы города Канска «Развитие образования»</t>
  </si>
  <si>
    <t>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общего и дополнительного образования» муниципальной программы города Канска «Развитие образования»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</si>
  <si>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общего и дополнительного образования» муниципальной программы города Канска «Развитие образования»</t>
  </si>
  <si>
    <t>Поступления денежных пожертвований, целевых средств и прочих поступлений в рамках подпрограммы «Развитие общего и дополнительного образования» муниципальной программы города Канска «Развитие образования»</t>
  </si>
  <si>
    <t>Приведение муниципальных дошкольных образовательных учреждений в соответствие требованиям правил пожарной безопасности, санитарным нормам и правилам, строительным нормам и правилам в рамках подпрограммы «Развитие общего и дополнительного образования» муниципальной программы города Канска «Развитие образования»</t>
  </si>
  <si>
    <t>Софинансирование по выплатам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 за счет средств местного бюджета в рамках подпрограммы «Развитие общего и дополнительного образования» муниципальной программы города Канска «Развитие образования»</t>
  </si>
  <si>
    <t>Мероприятия государственной программы Российской Федерации "Доступная среда" на 2011-2015 годы за счет средств федерального бюджета в рамках подпрограммы "Развитие общего и дополнительного образования" муниципальной программы города Канска "Развитие образования"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</si>
  <si>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общего и дополнительного образования» муниципальной программы города Канска «Развитие образования»</t>
  </si>
  <si>
    <t>Улучшение и обновление материальной технической базы: спортивно-технической, научно-технической направленности  в рамках подпрограммы «Развитие общего и дополнительного образования» муниципальной программы города Канска «Развитие образования»</t>
  </si>
  <si>
    <t>Проведение II этапа (муниципальной) Всероссийской предметной олимпиады школьников, городской научно-практической конференции и Юниор-конференции, Спартакиады "Школьная спортивная лига", фестиваль "Весенняя капель", Бал выпускников, Церемония чествования Главой города юных талантов, форума достижений детей города, зимние сборы по подготовке команды для участия в региональном этапе всероссийской олимпиады школьников в рамках подпрограммы «Развитие общего и дополнительного образования» муниципальной программы города Канска «Развитие образования»</t>
  </si>
  <si>
    <t>Оплата стоимости набора продуктов питания или готовых блюд и их транспортировки в лагерях с дневным пребыванием детей в рамках подпрограммы «Развитие общего и дополнительного образования» муниципальной программы города Канска «Развитие образования»</t>
  </si>
  <si>
    <t>Организация палаточного лагеря на спортивно-туристической базе "Чайка" в рамках подпрограммы «Развитие общего и дополнительного образования» муниципальной программы города Канска «Развитие образования»</t>
  </si>
  <si>
    <t>Интенсивные школы, спортивно-туристические походы, учебно-тренировочные, водные походы и т.д. в рамках подпрограммы «Развитие общего и дополнительного образования» муниципальной программы города Канска «Развитие образования»</t>
  </si>
  <si>
    <t>Безвозмездные поступления (взносы родителей за путёвки в детские оздоровительные лагеря) в рамках подпрограммы «Развитие общего и дополнительного образования» муниципальной программы города Канска «Развитие образования»</t>
  </si>
  <si>
    <t>Организация летнего отдыха, оздоровления и занятости детей и подростков города Канска в ДОЛ "Огонёк" в рамках подпрограммы «Развитие общего и дополнительного образования» муниципальной программы города Канска «Развитие образования»</t>
  </si>
  <si>
    <t>Оздоровление детей за счёт средств городского бюджета в рамках подпрограммы «Развитие общего и дополнительного образования» муниципальной программы города Канска «Развитие образования»</t>
  </si>
  <si>
    <t>Софинансирование субсидий бюджетам муниципальных образований на выплаты отдельным категориям работников муниципальных загородных оздоровительных лагерей, на оплату услуг по санитарно-эпидемиологической оценке обстановки в муниципальных загородных оздоровительных лагерях, оказанных на договорной основе в рамках подпрограммы «Развитие общего и дополнительного образования» муниципальной программы города Канска «Развитие образования»</t>
  </si>
  <si>
    <t>Софинансирование оплаты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лагеря, за счет местного бюджета в рамках подпрограммы «Развитие общего и дополнительного образования» муниципальной программы города Канска «Развитие образования»</t>
  </si>
  <si>
    <t>Софинансирование субсидий бюджетам муниципальных образований на оплату стоимости набора продуктов питания или готовых блюд и их транспортировки в лагерях с дневным пребыванием детей за счет средств городского бюджета в рамках подпрограммы «Развитие общего и дополнительного образования» муниципальной программы города Канска «Развитие образования»</t>
  </si>
  <si>
    <t>Софинансирование субсидии на организацию отдыха, оздоровления и занятости детей в муниципальных загородных оздоровительных лагерях в рамках подпрограммы «Развитие общего и дополнительного образования» муниципальной программы города Канска «Развитие образования»</t>
  </si>
  <si>
    <t>Муниципальный этап Всероссийского конкурса "Учитель года", Муниципальный конкурс проектов молодых специалистов "Молодые учителя-новой школе" в рамках подпрограммы «Развитие общего и дополнительного образования» муниципальной программы города Канска «Развитие образования»</t>
  </si>
  <si>
    <t>Учреждение Премий Главы города педагогам за высокие образовательные достижения обучаемых в рамках подпрограммы «Развитие общего и дополнительного образования» муниципальной программы города Канска «Развитие образования»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</si>
  <si>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в области образования" муниципальной программы города Канска "Развитие образования"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</si>
  <si>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 в области образования" муниципальной программы города Канска "Развитие образования"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</si>
  <si>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"Обеспечение реализации муниципальной программы и прочие мероприятия в области образования" муниципальной программы города Канска "Развитие образования"</t>
  </si>
  <si>
    <t>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общего и дополнительного образования» муниципальной программы города Канска «Развитие образования»</t>
  </si>
  <si>
    <t>Выплата и доставка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общего и дополнительного образования» муниципальной программы города Канска «Развитие образования»</t>
  </si>
  <si>
    <t>Наименование расходов</t>
  </si>
  <si>
    <t>% исполнения к плану</t>
  </si>
  <si>
    <t>% исполнения к финансированию</t>
  </si>
  <si>
    <t xml:space="preserve"> Обеспечение безопасного, качественного отдыха и оздоровления детей</t>
  </si>
  <si>
    <t>Организация деятельности органа управления образованием и учреждений, обеспечивающих деятельность образовательных учреждений, направленную на эффективное управление системой образования города Канска.  Обеспечение развития профессиональной компетентности педагогов, создание дополнительных стимулов повышения имиджа педагогической профессии средствами событийных  мероприятий и конкурсного движения</t>
  </si>
  <si>
    <t xml:space="preserve"> Обеспечение условия и качество обучения, соответствующие федеральным государственным стандартам начального общего, основного общего, среднего общего образования,  предоставление дополнительного  образования, в том числе за счет разработки и реализации современных образовательных программ, дистанционных и сетевых форм их реализации, выявление и поддержка одаренных детей</t>
  </si>
  <si>
    <t>Утверждено бюджетных ассигнований на 2015 год</t>
  </si>
  <si>
    <t>Финансирование за 2015 год</t>
  </si>
  <si>
    <t>Исполнено за 2015 год</t>
  </si>
  <si>
    <t>Модернизация региональных систем дошкольного образования за счет средств федерального бюджета в рамках подпрограммы «Развитие общего и дополнительного образования» муниципальной программы города Канска «Развитие образования»</t>
  </si>
  <si>
    <t>Софинансирование на реконструкцию и капитальный ремонт зданий под дошкольные образовательные учреждения, реконструкцию и капитальный ремонт зданий образовательных учреждений для создания условий, позволяющих реализовать основную общеобразовательную программу дошкольного образования детей, а также приобретение оборудования, мебели в рамках подпрограммы «Развитие общего и дополнительного образования» муниципальной программы города Канска «Развитие образования»</t>
  </si>
  <si>
    <t>ИТОГО по муниципальной программе "Развитие образования" за 2015 год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</si>
  <si>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учёной степени, почетного звания, нагрудного знака (значка) в рамках подпрограммы «Развитие общего и дополнительного образования» муниципальной программы города Канска «Развитие образования»</t>
  </si>
  <si>
    <t>Приведение муниципальных общеобразовательных учреждений в соответствие требованиям правил пожарной безопасности, санитарным нормам и правилам, строительным нормам и правилам в рамках подпрограммы «Развитие общего и дополнительного образования» муниципальной программы города Канска «Развитие образования»</t>
  </si>
  <si>
    <t>Финансовая поддержка деятельности муниципальных загородных оздоровительных лагерей в рамках подпрограммы «Развитие общего и дополнительного образования» муниципальной программы города Канска «Развитие образования»</t>
  </si>
  <si>
    <t>Оплата стоимости путевок для детей в краевые государственные и негосударственные организации отдыха детей и их оздоровления, зарегистрированные на территории края, муниципальные загородные оздоровительные лагеря в рамках подпрограммы «Развитие общего и дополнительного образования» муниципальной программы города Канска «Развитие образования»</t>
  </si>
  <si>
    <t>Частичное финансирование (возмещение) расходов муниципальных образований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в муниципальных загородных оздоровительных лагерей, оказанных на договорной основе в рамках подпрограммы «Развитие общего и дополнительного образования» муниципальной программы города Канска «Развитие образования»</t>
  </si>
  <si>
    <t>Организация отдыха детей и их оздоровления в муниципальных загородных оздоровительных лагерях в рамках подпрограммы «Развитие общего и дополнительного образования» муниципальной программы города Канска «Развитие образования»</t>
  </si>
  <si>
    <t xml:space="preserve">Сведения по исполнению  за 2015 год муниципальной программы                                                                               "Развитие образования" </t>
  </si>
  <si>
    <t>тыс. руб.</t>
  </si>
  <si>
    <t xml:space="preserve"> Обеспечение доступности дошкольного образования, соответствующего единому стандарту качества дошкольного образования</t>
  </si>
  <si>
    <t>Приложение № 3</t>
  </si>
  <si>
    <t>к Отчету главы города о деятельности администрации города Канска Красноярского края в 2015 году</t>
  </si>
  <si>
    <t>Утверждено бюджетных ассигнований на 2016 год</t>
  </si>
  <si>
    <t>Финансирование за 2016 год</t>
  </si>
  <si>
    <t>Исполнено за 2016 год</t>
  </si>
  <si>
    <t>ИТОГО по муниципальной программе города Канска "Развитие образования" за 2016 год</t>
  </si>
  <si>
    <t>Обеспечение деятельности (оказание услуг) подведомственных учреждений в рамках подпрограммы "Развитие общего и дополнительного образования" муниципальной программы города Канска "Развитие образования"</t>
  </si>
  <si>
    <t>Обеспечение деятельности (оказание услуг) подведомственных учреждений за счёт средств от приносящей доход деятельности в рамках подпрограммы "Развитие общего и дополнительного образования" муниципальной программы города Канска "Развитие образования"</t>
  </si>
  <si>
    <t>Мероприятия государственной программы Российской Федерации "Доступная среда" на 2011-2020 годы за счет средств федерального бюджета в рамках подпрограммы "Развитие общего и дополнительного образования" муниципальной программы города Канска "Развитие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</si>
  <si>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общего и дополнительного образования" муниципальной программы города Канска "Развитие образования"</t>
  </si>
  <si>
    <t>Обеспечение выделения денежных средств на осуществление присмотра и ухода за детьми-инвалидами, детьми-сиротами и детьми, оставшимся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общего и дополнительного образования" муниципальной программы города Канска "Развитие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</si>
  <si>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общего и дополнительного образования" муниципальной программы города Канска "Развитие образования"</t>
  </si>
  <si>
    <t>Содействие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подпрограммы "Развитие общего и дополнительного образования" муниципальной программы города Канска "Развитие образования"</t>
  </si>
  <si>
    <t>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общего и дополнительного образования" муниципальной программы города Канска "Развитие образования"</t>
  </si>
  <si>
    <t>Поступления денежных пожертвований, целевых средств и прочих поступлений в рамках подпрограммы "Развитие общего и дополнительного образования" муниципальной программы города Канска "Развитие образования"</t>
  </si>
  <si>
    <t>Приведение муниципальных дошкольных образовательных учреждений в соответствие требованиям правил пожарной безопасности, санитарным нормам и правилам, строительным нормам и правилам в рамках подпрограммы "Развитие общего и дополнительного образования" муниципальной программы города Канска "Развитие образования"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</si>
  <si>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в рамках подпрограммы "Развитие общего и дополнительного образования" муниципальной программы города Канска "Развитие образования"</t>
  </si>
  <si>
    <t>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учреждений, в рамках подпрограммы"Развитие общего и дополнительного образования" муниципальной программы города Канска "Развитие образования"</t>
  </si>
  <si>
    <t>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"Развитие общего и дополнительного образования" муниципальной программы города Канска "Развитие образования"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</si>
  <si>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учёной степени, почетного звания, нагрудного знака (значка) в рамках подпрограммы "Развитие общего и дополнительного образования" муниципальной программы города Канска "Развитие образования"</t>
  </si>
  <si>
    <t>Проведение мероприятий, направленных на обеспечение безопасного участия детей в дорожном движении в рамках подпрограммы "Развитие общего и дополнительного образования" муниципальной программы города Канска "Развитие образования"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</si>
  <si>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общего и дополнительного образования" муниципальной программы города Канска "Развитие образования"</t>
  </si>
  <si>
    <t>Развитие инфраструктуры общеобразовательных учреждений в рамках подпрограммы "Развитие общего и дополнительного образования" муниципальной программы города Канска "Развитие образования"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</si>
  <si>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общего и дополнительного образования" муниципальной программы города Канска "Развитие образования"</t>
  </si>
  <si>
    <t>Приведение муниципальных общеобразовательных учреждений в соответствие требованиям правил пожарной безопасности, санитарным нормам и правилам, строительным нормам и правилам в рамках подпрограммы "Развитие общего и дополнительного образования" муниципальной программы города Канска "Развитие образования"</t>
  </si>
  <si>
    <t>Улучшение и обновление материальной технической базы: спортивно-технической, научно-технической направленности в рамках подпрограммы "Развитие общего и дополнительного образования" муниципальной программы города Канска "Развитие образования"</t>
  </si>
  <si>
    <t>Проведение II этапа (муниципальной) Всероссийской предметной олимпиады школьников, городской научно-практической конференции и Юниор-конференции, Спартакиады "Школьная спортивная лига", фестиваль "Весенняя капель", Бал выпускников, Церемония чествования Главой города юных талантов, форума достижений детей города, зимние сборы по подготовке команды для участия в региональном этапе всероссийской олимпиады школьников в рамках подпрограммы "Развитие общего и дополнительного образования" муниципальной программы города Канска "Развитие образования"</t>
  </si>
  <si>
    <t>Капитальное строительство двухэтажной вставки между зданием по ул. 40 лет Октября, № 33/2 и зданием по ул. Цимлянская, № 2</t>
  </si>
  <si>
    <t>к Отчету главы города о деятельности администрации города Канска Красноярского края в 2016 году</t>
  </si>
  <si>
    <t>Оплата стоимости набора продуктов питания или готовых блюд и их транспортировки в лагеря с дневным пребыванием детей в рамках подпрограммы "Развитие общего и дополнительного образования" муниципальной программы города Канска "Развитие образования"</t>
  </si>
  <si>
    <t>Оплата стоимости путевок для детей в краевые государственные и негосударственные организации отдыха детей и их оздоровления, зарегистрированные на территории края, муниципальные загородные оздоровительные лагеря, организацию отдыха детей и их оздоровления в муниципальных загородных оздоровительных лагерях в рамках подпрограммы "Развитие общего и дополнительного образования" муниципальной программы города Канска "Развитие образования"</t>
  </si>
  <si>
    <t>Частичное финансирование (возмещение) расходов муниципальных образований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 в рамках подпрограммы "Развитие общего и дополнительного образования" муниципальной программы города Канска "Развитие образования"</t>
  </si>
  <si>
    <t>Организация палаточного лагеря на спортивно-туристической базе "Чайка" в рамках подпрограммы "Развитие общего и дополнительного образования" муниципальной программы города Канска "Развитие образования"</t>
  </si>
  <si>
    <t>Интенсивные школы, спортивно-туристические походы, учебно-тренировочные, водные походы и т.д. в рамках подпрограммы "Развитие общего и дополнительного образования" муниципальной программы города Канска "Развитие образования"</t>
  </si>
  <si>
    <t>Оздоровление детей за счет взносов родителей в рамках подпрограммы "Развитие общего и дополнительного образования" муниципальной программы города Канска "Развитие образования"</t>
  </si>
  <si>
    <t>Организация летнего отдыха, оздоровления и занятости детей и подростков города Канска в ДОЛ "Огонёк" в рамках подпрограммы "Развитие общего и дополнительного образования" муниципальной программы города Канска "Развитие образования"</t>
  </si>
  <si>
    <t>Оздоровление детей за счёт средств городского бюджета в рамках подпрограммы "Развитие общего и дополнительного образования" муниципальной программы города Канска "Развитие образования"</t>
  </si>
  <si>
    <t>Муниципальный этап Всероссийского конкурса "Учитель года", Муниципальный конкурс проектов молодых специалистов "Молодые учителя-новой школе" в рамках подпрограммы "Развитие общего и дополнительного образования" муниципальной программы города Канска "Развитие образования"</t>
  </si>
  <si>
    <t>Учреждение Премий Главы города педагогам за высокие образовательные достижения обучаемых в рамках подпрограммы "Развитие общего и дополнительного образования" муниципальной программы города Канска "Развитие образования"</t>
  </si>
  <si>
    <t>Содействие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подпрограммы "Обеспечение реализации муниципальной программы и прочие мероприятия в области образования" муниципальной программы города Канска "Развитие образования"</t>
  </si>
  <si>
    <t xml:space="preserve">Сведения по исполнению  за 2016 год муниципальной программы города Канска                  
               "Развитие образования" </t>
  </si>
  <si>
    <t>Выплата и доставка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"Развитие общего и дополнительного образования" муниципальной программы города Канска "Развитие образования"</t>
  </si>
  <si>
    <t>1</t>
  </si>
  <si>
    <t>2</t>
  </si>
  <si>
    <t>3</t>
  </si>
  <si>
    <t>4</t>
  </si>
  <si>
    <t>к Отчету главы города о деятельности администрации города Канска Красноярского края в 2017 году</t>
  </si>
  <si>
    <t>Утверждено бюджетных ассигнований на 2017 год</t>
  </si>
  <si>
    <t>Финансирование за 2017 год</t>
  </si>
  <si>
    <t>Исполнено за 2017 год</t>
  </si>
  <si>
    <t>Обеспечение деятельности (оказание услуг) подведомственных учреждений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</si>
  <si>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Обеспечение деятельности (оказание услуг) подведомственных учреждений за счёт средств от приносящей доход деятельности и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</si>
  <si>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Проведение мероприятий, направленных на обеспечение безопасного участия детей в дорожном движении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</si>
  <si>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</si>
  <si>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Обеспечение выделения денежных средств на осуществление присмотра и ухода за детьми-инвалидами, детьми-сиротами и детьми, оставшимся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</si>
  <si>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</si>
  <si>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Приведение муниципальных дошкольных образовательных учреждений в соответствие требованиям правил пожарной безопасности, санитарным нормам и правилам, строительным нормам и правилам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</si>
  <si>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</si>
  <si>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Выплата и доставка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</si>
  <si>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Оплата стоимости набора продуктов питания или готовых блюд и их транспортировки в лагеря с дневным пребыванием детей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</si>
  <si>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Оплата стоимости путевок для детей в возрасте от 7 лет до 18 лет в краевые государственные и негосударственные организации отдыха детей и их оздоровления, расположенные на территории края, муниципальные загородные оздоровительные лагерях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</si>
  <si>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Организация отдыха детей в каникулярное время, проживающих на территории соответствующего муниципального образования края, в муниципальных загородных оздоровительных лагерях, находящихся в ведении органов местного самоуправления данного муниципального образования края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</si>
  <si>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</si>
  <si>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Финансовая поддержка деятельности муниципальных загородных оздоровительных лагерей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</si>
  <si>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Выполнение ремонтно-строительных работ по устройству спортивных площадок в муниципальных загородных оздоровительных лагерях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</si>
  <si>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Организация палаточного лагеря на спортивно-туристической базе "Чайка"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</si>
  <si>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Интенсивные школы, спортивно-туристические походы, учебно-тренировочные, водные походы и т.д.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</si>
  <si>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Оздоровление детей за счет взносов родителей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</si>
  <si>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Организация летнего отдыха, оздоровления и занятости детей и подростков города Канска в ДОЛ "Огонёк"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</si>
  <si>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Оздоровление детей за счёт средств городского бюджета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</si>
  <si>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</si>
  <si>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Развитие инфраструктуры в муниципальных общеобразовательных организациях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</si>
  <si>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</si>
  <si>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</si>
  <si>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Приведение муниципальных общеобразовательных учреждений в соответствие требованиям правил пожарной безопасности, санитарным нормам и правилам, строительным нормам и правилам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</si>
  <si>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Проведение II этапа (муниципальной) Всероссийской предметной олимпиады школьников, городской научно-практической конференции и Юниор-конференции, Спартакиады "Школьная спортивная лига", фестиваль "Весенняя капель", Бал выпускников, Церемония чествования Главой города юных талантов, форума достижений детей города, зимние сборы по подготовке команды для участия в региональном этапе всероссийской олимпиады школьников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</si>
  <si>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учёной степени, почетного звания, нагрудного знака (значка)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</si>
  <si>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Улучшение и обновление материальной технической базы: спортивно-технической, научно-технической направленности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</si>
  <si>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Предоставление грантов в форме субсидий образовательным организациям - победителям краевого конкурса дополнительных общеобразовательных программ, реализуемых в сетевой форме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</si>
  <si>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Обеспечение питанием детей, обучающихся в муниципальных и частных общеобразовательных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</si>
  <si>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Реализация мероприятий по обеспечению доступности услуг ранней помощи детям в центрах психолого-педагогического и медико-социального сопровождения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</si>
  <si>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Муниципальный этап Всероссийского конкурса "Учитель года", Муниципальный конкурс проектов молодых специалистов "Молодые учителя-новой школе"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</si>
  <si>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Учреждение Премий Главы города педагогам за высокие образовательные достижения обучаемых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</si>
  <si>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Содействие достижению и (или) поощрение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подпрограммы "Обеспечение реализации муниципальной программы и прочие мероприятия в области образования" муниципальной программы города Канска "Развитие образования"</t>
  </si>
  <si>
    <t>ИТОГО по муниципальной программе города Канска "Развитие образования" за 2017 год</t>
  </si>
  <si>
    <t>Сведения по исполнению муниципальной программы города Канска "Развитие образования" за 2017 года</t>
  </si>
  <si>
    <t>ИТОГО по муниципальной программе города Канска "Развитие образования" за 2018 год</t>
  </si>
  <si>
    <t>Обеспечение деятельности (оказание услуг) подведомственных учреждений за счёт средств от приносящей доход деятельности и прочие поступления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</si>
  <si>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</si>
  <si>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Содействие развитию налогового потенциала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</si>
  <si>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Поступления денежных пожертвований, целевых средств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</si>
  <si>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Проведение мероприятий, направленных на обеспечение безопасного участия детей в дорожном движении за счет средств городского бюджета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</si>
  <si>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Содействие развитию налогового потенциала за счет средств городского бюджета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</si>
  <si>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за счет средств городского бюджета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</si>
  <si>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</si>
  <si>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Развитие инфраструктуры общеобразовательных организаций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</si>
  <si>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Развитие инфраструктуры общеобразовательных организаций за счет средств городского бюджета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</si>
  <si>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Обеспечение предоставления дополнительного  образования, в том числе за счет разработки и реализации современных образовательных программ, дистанционных и сетевых форм их реализации</t>
  </si>
  <si>
    <t>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</si>
  <si>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Осуществление государственных полномочий по обеспечению отдыха и оздоровления детей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</si>
  <si>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за счет средств городского бюджета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</si>
  <si>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 за счет средств городского бюджета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</si>
  <si>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 xml:space="preserve"> Обеспечение условий и качества обучения, соответствующим федеральным государственным стандартам начального общего, основного общего, среднего общего образования, содействие выявлению и поддержке одаренных детей, обеспечение психолого-педагогической и социальной помощи детям, психолого-педагогическое и методическое сопровождение реализации основных общеобразовательных программ.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</si>
  <si>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"Обеспечение реализации муниципальной программы и прочие мероприятия в области образования" муниципальной программы города Канска "Развитие образования"</t>
  </si>
  <si>
    <t>Выполнение прочих обязательств в рамках подпрограммы "Обеспечение реализации муниципальной программы и прочие мероприятия в области образования" муниципальной программы города Канска "Развитие образования"</t>
  </si>
  <si>
    <t>Итого по задаче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</si>
  <si>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</si>
  <si>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Т.Ю. Шопенкова</t>
  </si>
  <si>
    <t>В.В. Фукс</t>
  </si>
  <si>
    <t>Директор МКУ "ЦБ по ведению учета в сфере образования"</t>
  </si>
  <si>
    <t>Исп. Кабушева Светлана Анатольевна, тел. 8 (39161) 3-57-25</t>
  </si>
  <si>
    <t>Руководитель УО администрации г.Канска</t>
  </si>
  <si>
    <t>к Отчету главы города о деятельности администрации города Канска Красноярского края в 2019 году</t>
  </si>
  <si>
    <t>Сведения по исполнению муниципальной программы города Канска "Развитие образования" за 2019 год</t>
  </si>
  <si>
    <t>Утверждено бюджетных ассигнований на 2019 год</t>
  </si>
  <si>
    <t>Финансирование за 2019 год</t>
  </si>
  <si>
    <t>Исполнено за 2019 год</t>
  </si>
  <si>
    <t>Утверждено бюджетных ассигнований на 2018 год</t>
  </si>
  <si>
    <t>Финансирование за 2018  год</t>
  </si>
  <si>
    <t>Исполнено за 2018 год</t>
  </si>
  <si>
    <t>Сведения по исполнению муниципальной программы города Канска "Развитие образования" за 2018 год</t>
  </si>
  <si>
    <t>к Отчету главы города о деятельности администрации города Канска Красноярского края в 2018 году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</si>
  <si>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</si>
  <si>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</si>
  <si>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Проведение мероприятий, направленных на создание современных комфортных и безопасных условий в муниципальных образовательных учреждениях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</si>
  <si>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</si>
  <si>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</si>
  <si>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</si>
  <si>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ИТОГО по муниципальной программе города Канска "Развитие образования" за 2019 год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</si>
</sst>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?"/>
    <numFmt numFmtId="166" formatCode="0.0"/>
    <numFmt numFmtId="167" formatCode="#,##0.00&quot;р.&quot;"/>
  </numFmts>
  <fonts count="17">
    <font>
      <sz val="10"/>
      <name val="Arial"/>
      <charset val="204"/>
    </font>
    <font>
      <sz val="8.5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166" fontId="2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0" fontId="5" fillId="0" borderId="0" xfId="0" applyFont="1"/>
    <xf numFmtId="164" fontId="3" fillId="0" borderId="1" xfId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left" vertical="center" wrapText="1"/>
    </xf>
    <xf numFmtId="165" fontId="7" fillId="0" borderId="1" xfId="0" applyNumberFormat="1" applyFont="1" applyBorder="1" applyAlignment="1">
      <alignment horizontal="left" vertical="center" wrapText="1"/>
    </xf>
    <xf numFmtId="164" fontId="7" fillId="0" borderId="1" xfId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 vertical="top" wrapText="1"/>
    </xf>
    <xf numFmtId="0" fontId="9" fillId="0" borderId="0" xfId="0" applyFont="1"/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49" fontId="8" fillId="0" borderId="2" xfId="0" applyNumberFormat="1" applyFont="1" applyFill="1" applyBorder="1" applyAlignment="1">
      <alignment vertical="center" wrapText="1"/>
    </xf>
    <xf numFmtId="164" fontId="8" fillId="0" borderId="1" xfId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4" fontId="8" fillId="2" borderId="1" xfId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vertical="center" wrapText="1"/>
    </xf>
    <xf numFmtId="49" fontId="9" fillId="0" borderId="1" xfId="0" applyNumberFormat="1" applyFont="1" applyBorder="1" applyAlignment="1" applyProtection="1">
      <alignment horizontal="left" vertical="center" wrapText="1"/>
    </xf>
    <xf numFmtId="4" fontId="9" fillId="0" borderId="1" xfId="0" applyNumberFormat="1" applyFont="1" applyBorder="1" applyAlignment="1" applyProtection="1">
      <alignment horizontal="right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 applyProtection="1">
      <alignment horizontal="left" vertical="center" wrapText="1"/>
    </xf>
    <xf numFmtId="165" fontId="8" fillId="2" borderId="1" xfId="0" applyNumberFormat="1" applyFont="1" applyFill="1" applyBorder="1" applyAlignment="1">
      <alignment horizontal="left" vertical="center" wrapText="1"/>
    </xf>
    <xf numFmtId="165" fontId="9" fillId="0" borderId="1" xfId="0" applyNumberFormat="1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8" fillId="2" borderId="1" xfId="0" applyNumberFormat="1" applyFont="1" applyFill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 applyProtection="1">
      <alignment horizontal="justify" vertical="center" wrapText="1"/>
    </xf>
    <xf numFmtId="49" fontId="8" fillId="2" borderId="1" xfId="0" applyNumberFormat="1" applyFont="1" applyFill="1" applyBorder="1" applyAlignment="1" applyProtection="1">
      <alignment horizontal="left" vertical="center" wrapText="1"/>
    </xf>
    <xf numFmtId="4" fontId="8" fillId="2" borderId="1" xfId="0" applyNumberFormat="1" applyFont="1" applyFill="1" applyBorder="1" applyAlignment="1" applyProtection="1">
      <alignment horizontal="right" vertical="center" wrapText="1"/>
    </xf>
    <xf numFmtId="0" fontId="14" fillId="0" borderId="0" xfId="0" applyFont="1"/>
    <xf numFmtId="164" fontId="15" fillId="2" borderId="1" xfId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left" vertical="center" wrapText="1"/>
    </xf>
    <xf numFmtId="10" fontId="8" fillId="3" borderId="1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9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1" fillId="0" borderId="0" xfId="0" applyFont="1" applyAlignment="1">
      <alignment horizontal="center" vertical="top" wrapText="1"/>
    </xf>
    <xf numFmtId="49" fontId="8" fillId="3" borderId="2" xfId="0" applyNumberFormat="1" applyFont="1" applyFill="1" applyBorder="1" applyAlignment="1">
      <alignment horizontal="left" vertical="center" wrapText="1"/>
    </xf>
    <xf numFmtId="49" fontId="8" fillId="3" borderId="3" xfId="0" applyNumberFormat="1" applyFont="1" applyFill="1" applyBorder="1" applyAlignment="1">
      <alignment horizontal="left" vertical="center" wrapText="1"/>
    </xf>
    <xf numFmtId="49" fontId="8" fillId="3" borderId="4" xfId="0" applyNumberFormat="1" applyFont="1" applyFill="1" applyBorder="1" applyAlignment="1">
      <alignment horizontal="left" vertical="center" wrapText="1"/>
    </xf>
    <xf numFmtId="167" fontId="8" fillId="3" borderId="1" xfId="0" applyNumberFormat="1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 applyProtection="1">
      <alignment horizontal="left" vertical="center" wrapText="1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right" vertical="center"/>
    </xf>
    <xf numFmtId="49" fontId="8" fillId="0" borderId="2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left" vertical="center" wrapText="1"/>
    </xf>
    <xf numFmtId="10" fontId="8" fillId="0" borderId="2" xfId="0" applyNumberFormat="1" applyFont="1" applyFill="1" applyBorder="1" applyAlignment="1">
      <alignment horizontal="left" vertical="center" wrapText="1"/>
    </xf>
    <xf numFmtId="10" fontId="8" fillId="0" borderId="3" xfId="0" applyNumberFormat="1" applyFont="1" applyFill="1" applyBorder="1" applyAlignment="1">
      <alignment horizontal="left" vertical="center" wrapText="1"/>
    </xf>
    <xf numFmtId="10" fontId="8" fillId="0" borderId="4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top" wrapText="1"/>
    </xf>
    <xf numFmtId="167" fontId="8" fillId="0" borderId="2" xfId="0" applyNumberFormat="1" applyFont="1" applyFill="1" applyBorder="1" applyAlignment="1">
      <alignment horizontal="left" vertical="center" wrapText="1"/>
    </xf>
    <xf numFmtId="167" fontId="8" fillId="0" borderId="3" xfId="0" applyNumberFormat="1" applyFont="1" applyFill="1" applyBorder="1" applyAlignment="1">
      <alignment horizontal="left" vertical="center" wrapText="1"/>
    </xf>
    <xf numFmtId="167" fontId="8" fillId="0" borderId="4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56"/>
  <sheetViews>
    <sheetView showGridLines="0" tabSelected="1" view="pageBreakPreview" zoomScaleNormal="75" zoomScaleSheetLayoutView="100" workbookViewId="0">
      <pane ySplit="6" topLeftCell="A52" activePane="bottomLeft" state="frozen"/>
      <selection pane="bottomLeft" activeCell="B56" sqref="B56"/>
    </sheetView>
  </sheetViews>
  <sheetFormatPr defaultColWidth="9.109375" defaultRowHeight="13.2"/>
  <cols>
    <col min="1" max="1" width="66.6640625" style="1" customWidth="1"/>
    <col min="2" max="2" width="19.6640625" style="1" customWidth="1"/>
    <col min="3" max="3" width="19.5546875" style="1" customWidth="1"/>
    <col min="4" max="4" width="19.109375" style="1" customWidth="1"/>
    <col min="5" max="5" width="12.88671875" style="1" customWidth="1"/>
    <col min="6" max="6" width="14.6640625" style="1" customWidth="1"/>
    <col min="7" max="16384" width="9.109375" style="1"/>
  </cols>
  <sheetData>
    <row r="1" spans="1:6" ht="15.6">
      <c r="D1" s="19"/>
      <c r="E1" s="49" t="s">
        <v>51</v>
      </c>
      <c r="F1" s="50"/>
    </row>
    <row r="2" spans="1:6" s="19" customFormat="1" ht="47.25" customHeight="1">
      <c r="A2" s="18"/>
      <c r="B2" s="18"/>
      <c r="D2" s="51" t="s">
        <v>163</v>
      </c>
      <c r="E2" s="52"/>
      <c r="F2" s="52"/>
    </row>
    <row r="3" spans="1:6" s="19" customFormat="1" ht="8.25" customHeight="1">
      <c r="A3" s="18"/>
      <c r="B3" s="18"/>
      <c r="D3" s="18"/>
    </row>
    <row r="4" spans="1:6" s="19" customFormat="1" ht="20.399999999999999">
      <c r="A4" s="53" t="s">
        <v>164</v>
      </c>
      <c r="B4" s="53"/>
      <c r="C4" s="53"/>
      <c r="D4" s="53"/>
      <c r="E4" s="53"/>
      <c r="F4" s="53"/>
    </row>
    <row r="5" spans="1:6" ht="24.75" customHeight="1">
      <c r="A5" s="3"/>
      <c r="B5" s="3"/>
      <c r="C5" s="3"/>
      <c r="D5" s="3"/>
      <c r="E5" s="2"/>
      <c r="F5" s="22" t="s">
        <v>49</v>
      </c>
    </row>
    <row r="6" spans="1:6" s="4" customFormat="1" ht="66.75" customHeight="1">
      <c r="A6" s="37" t="s">
        <v>30</v>
      </c>
      <c r="B6" s="37" t="s">
        <v>165</v>
      </c>
      <c r="C6" s="37" t="s">
        <v>166</v>
      </c>
      <c r="D6" s="37" t="s">
        <v>167</v>
      </c>
      <c r="E6" s="38" t="s">
        <v>31</v>
      </c>
      <c r="F6" s="38" t="s">
        <v>32</v>
      </c>
    </row>
    <row r="7" spans="1:6" s="4" customFormat="1">
      <c r="A7" s="40" t="s">
        <v>93</v>
      </c>
      <c r="B7" s="40" t="s">
        <v>94</v>
      </c>
      <c r="C7" s="40" t="s">
        <v>95</v>
      </c>
      <c r="D7" s="40" t="s">
        <v>96</v>
      </c>
      <c r="E7" s="41">
        <v>5</v>
      </c>
      <c r="F7" s="41">
        <v>6</v>
      </c>
    </row>
    <row r="8" spans="1:6" ht="36.6" customHeight="1">
      <c r="A8" s="54" t="s">
        <v>50</v>
      </c>
      <c r="B8" s="55"/>
      <c r="C8" s="55"/>
      <c r="D8" s="55"/>
      <c r="E8" s="55"/>
      <c r="F8" s="56"/>
    </row>
    <row r="9" spans="1:6" ht="62.4">
      <c r="A9" s="29" t="s">
        <v>101</v>
      </c>
      <c r="B9" s="30">
        <v>176020279.81</v>
      </c>
      <c r="C9" s="30">
        <v>175980024.43000001</v>
      </c>
      <c r="D9" s="30">
        <v>175980024.43000001</v>
      </c>
      <c r="E9" s="31">
        <f t="shared" ref="E9:E16" si="0">D9*100/B9</f>
        <v>99.97713026019305</v>
      </c>
      <c r="F9" s="31">
        <f t="shared" ref="F9:F16" si="1">C9*100/B9</f>
        <v>99.97713026019305</v>
      </c>
    </row>
    <row r="10" spans="1:6" ht="80.25" customHeight="1">
      <c r="A10" s="32" t="s">
        <v>138</v>
      </c>
      <c r="B10" s="30">
        <v>784168.14</v>
      </c>
      <c r="C10" s="30">
        <v>750444.59</v>
      </c>
      <c r="D10" s="30">
        <v>750444.59</v>
      </c>
      <c r="E10" s="31">
        <f t="shared" si="0"/>
        <v>95.699449100291162</v>
      </c>
      <c r="F10" s="31">
        <f t="shared" si="1"/>
        <v>95.699449100291162</v>
      </c>
    </row>
    <row r="11" spans="1:6" ht="225" customHeight="1">
      <c r="A11" s="32" t="s">
        <v>173</v>
      </c>
      <c r="B11" s="30">
        <v>107722980</v>
      </c>
      <c r="C11" s="30">
        <v>106920457.04000001</v>
      </c>
      <c r="D11" s="30">
        <v>106920457.04000001</v>
      </c>
      <c r="E11" s="31">
        <f t="shared" si="0"/>
        <v>99.255012291713427</v>
      </c>
      <c r="F11" s="31">
        <f t="shared" si="1"/>
        <v>99.255012291713427</v>
      </c>
    </row>
    <row r="12" spans="1:6" ht="165" customHeight="1">
      <c r="A12" s="32" t="s">
        <v>139</v>
      </c>
      <c r="B12" s="30">
        <v>2014000</v>
      </c>
      <c r="C12" s="30">
        <v>2014000</v>
      </c>
      <c r="D12" s="30">
        <v>2014000</v>
      </c>
      <c r="E12" s="31">
        <f t="shared" si="0"/>
        <v>100</v>
      </c>
      <c r="F12" s="31">
        <f t="shared" si="1"/>
        <v>100</v>
      </c>
    </row>
    <row r="13" spans="1:6" ht="224.25" customHeight="1">
      <c r="A13" s="32" t="s">
        <v>174</v>
      </c>
      <c r="B13" s="30">
        <v>265418100</v>
      </c>
      <c r="C13" s="30">
        <v>265417679.72999999</v>
      </c>
      <c r="D13" s="30">
        <v>265417679.72999999</v>
      </c>
      <c r="E13" s="31">
        <f t="shared" si="0"/>
        <v>99.999841657370013</v>
      </c>
      <c r="F13" s="31">
        <f t="shared" si="1"/>
        <v>99.999841657370013</v>
      </c>
    </row>
    <row r="14" spans="1:6" ht="77.25" customHeight="1">
      <c r="A14" s="32" t="s">
        <v>175</v>
      </c>
      <c r="B14" s="30">
        <v>12102415.859999999</v>
      </c>
      <c r="C14" s="30">
        <v>12102415.859999999</v>
      </c>
      <c r="D14" s="30">
        <v>12102415.859999999</v>
      </c>
      <c r="E14" s="31">
        <f t="shared" si="0"/>
        <v>100</v>
      </c>
      <c r="F14" s="31">
        <f t="shared" si="1"/>
        <v>100</v>
      </c>
    </row>
    <row r="15" spans="1:6" ht="78">
      <c r="A15" s="29" t="s">
        <v>176</v>
      </c>
      <c r="B15" s="30">
        <v>71500</v>
      </c>
      <c r="C15" s="30">
        <v>71500</v>
      </c>
      <c r="D15" s="30">
        <v>71500</v>
      </c>
      <c r="E15" s="31">
        <f t="shared" si="0"/>
        <v>100</v>
      </c>
      <c r="F15" s="31">
        <f t="shared" si="1"/>
        <v>100</v>
      </c>
    </row>
    <row r="16" spans="1:6" ht="112.5" customHeight="1">
      <c r="A16" s="32" t="s">
        <v>145</v>
      </c>
      <c r="B16" s="30">
        <v>7510300</v>
      </c>
      <c r="C16" s="30">
        <v>7221884.3600000003</v>
      </c>
      <c r="D16" s="30">
        <v>7221884.3600000003</v>
      </c>
      <c r="E16" s="31">
        <f t="shared" si="0"/>
        <v>96.159732101247613</v>
      </c>
      <c r="F16" s="31">
        <f t="shared" si="1"/>
        <v>96.159732101247613</v>
      </c>
    </row>
    <row r="17" spans="1:6" s="8" customFormat="1" ht="34.200000000000003" customHeight="1">
      <c r="A17" s="33" t="s">
        <v>156</v>
      </c>
      <c r="B17" s="46">
        <f>SUM(B9:B16)</f>
        <v>571643743.81000006</v>
      </c>
      <c r="C17" s="46">
        <f t="shared" ref="C17:D17" si="2">SUM(C9:C16)</f>
        <v>570478406.00999999</v>
      </c>
      <c r="D17" s="46">
        <f t="shared" si="2"/>
        <v>570478406.00999999</v>
      </c>
      <c r="E17" s="46"/>
      <c r="F17" s="46"/>
    </row>
    <row r="18" spans="1:6" ht="55.5" customHeight="1">
      <c r="A18" s="57" t="s">
        <v>153</v>
      </c>
      <c r="B18" s="57"/>
      <c r="C18" s="57"/>
      <c r="D18" s="57"/>
      <c r="E18" s="57"/>
      <c r="F18" s="57"/>
    </row>
    <row r="19" spans="1:6" ht="63" customHeight="1">
      <c r="A19" s="29" t="s">
        <v>101</v>
      </c>
      <c r="B19" s="30">
        <v>169326763.63</v>
      </c>
      <c r="C19" s="30">
        <v>169325419.90000001</v>
      </c>
      <c r="D19" s="30">
        <v>169325419.90000001</v>
      </c>
      <c r="E19" s="31">
        <f t="shared" ref="E19" si="3">D19*100/B19</f>
        <v>99.999206427872835</v>
      </c>
      <c r="F19" s="31">
        <f t="shared" ref="F19" si="4">C19*100/B19</f>
        <v>99.999206427872835</v>
      </c>
    </row>
    <row r="20" spans="1:6" ht="221.25" customHeight="1">
      <c r="A20" s="32" t="s">
        <v>177</v>
      </c>
      <c r="B20" s="30">
        <v>57765100</v>
      </c>
      <c r="C20" s="30">
        <v>57765100</v>
      </c>
      <c r="D20" s="30">
        <v>57765100</v>
      </c>
      <c r="E20" s="31">
        <f t="shared" ref="E20:E21" si="5">D20*100/B20</f>
        <v>100</v>
      </c>
      <c r="F20" s="31">
        <f t="shared" ref="F20:F21" si="6">C20*100/B20</f>
        <v>100</v>
      </c>
    </row>
    <row r="21" spans="1:6" ht="221.25" customHeight="1">
      <c r="A21" s="32" t="s">
        <v>178</v>
      </c>
      <c r="B21" s="30">
        <v>382645999.58999997</v>
      </c>
      <c r="C21" s="30">
        <v>382268302.72000003</v>
      </c>
      <c r="D21" s="30">
        <v>382268302.72000003</v>
      </c>
      <c r="E21" s="31">
        <f t="shared" si="5"/>
        <v>99.901293396401726</v>
      </c>
      <c r="F21" s="31">
        <f t="shared" si="6"/>
        <v>99.901293396401726</v>
      </c>
    </row>
    <row r="22" spans="1:6" ht="111" customHeight="1">
      <c r="A22" s="32" t="s">
        <v>157</v>
      </c>
      <c r="B22" s="30">
        <v>33802900</v>
      </c>
      <c r="C22" s="30">
        <v>33665732.240000002</v>
      </c>
      <c r="D22" s="30">
        <v>33665732.240000002</v>
      </c>
      <c r="E22" s="31">
        <f t="shared" ref="E22:E49" si="7">D22*100/B22</f>
        <v>99.594213040892939</v>
      </c>
      <c r="F22" s="31">
        <f t="shared" ref="F22:F50" si="8">C22*100/B22</f>
        <v>99.594213040892939</v>
      </c>
    </row>
    <row r="23" spans="1:6" ht="81.75" customHeight="1">
      <c r="A23" s="32" t="s">
        <v>175</v>
      </c>
      <c r="B23" s="30">
        <v>7134246.54</v>
      </c>
      <c r="C23" s="30">
        <v>7134246.54</v>
      </c>
      <c r="D23" s="30">
        <v>7134246.54</v>
      </c>
      <c r="E23" s="31">
        <f t="shared" si="7"/>
        <v>100</v>
      </c>
      <c r="F23" s="31">
        <f t="shared" si="8"/>
        <v>100</v>
      </c>
    </row>
    <row r="24" spans="1:6" ht="78">
      <c r="A24" s="29" t="s">
        <v>128</v>
      </c>
      <c r="B24" s="30">
        <v>200000</v>
      </c>
      <c r="C24" s="30">
        <v>200000</v>
      </c>
      <c r="D24" s="30">
        <v>200000</v>
      </c>
      <c r="E24" s="31">
        <f t="shared" si="7"/>
        <v>100</v>
      </c>
      <c r="F24" s="31">
        <f t="shared" si="8"/>
        <v>100</v>
      </c>
    </row>
    <row r="25" spans="1:6" ht="156" customHeight="1">
      <c r="A25" s="32" t="s">
        <v>126</v>
      </c>
      <c r="B25" s="30">
        <v>149750</v>
      </c>
      <c r="C25" s="30">
        <v>149750</v>
      </c>
      <c r="D25" s="30">
        <v>149750</v>
      </c>
      <c r="E25" s="31">
        <f t="shared" si="7"/>
        <v>100</v>
      </c>
      <c r="F25" s="31">
        <f t="shared" si="8"/>
        <v>100</v>
      </c>
    </row>
    <row r="26" spans="1:6" ht="62.4">
      <c r="A26" s="29" t="s">
        <v>146</v>
      </c>
      <c r="B26" s="30">
        <v>3056563</v>
      </c>
      <c r="C26" s="30">
        <v>3056563</v>
      </c>
      <c r="D26" s="30">
        <v>3056563</v>
      </c>
      <c r="E26" s="31">
        <f t="shared" si="7"/>
        <v>100</v>
      </c>
      <c r="F26" s="31">
        <f t="shared" si="8"/>
        <v>100</v>
      </c>
    </row>
    <row r="27" spans="1:6" ht="78">
      <c r="A27" s="29" t="s">
        <v>176</v>
      </c>
      <c r="B27" s="30">
        <v>82216</v>
      </c>
      <c r="C27" s="30">
        <v>82216</v>
      </c>
      <c r="D27" s="30">
        <v>82216</v>
      </c>
      <c r="E27" s="31">
        <f t="shared" si="7"/>
        <v>100</v>
      </c>
      <c r="F27" s="31">
        <f t="shared" si="8"/>
        <v>100</v>
      </c>
    </row>
    <row r="28" spans="1:6" s="8" customFormat="1" ht="25.5" customHeight="1">
      <c r="A28" s="43" t="s">
        <v>156</v>
      </c>
      <c r="B28" s="44">
        <f>SUM(B19:B27)</f>
        <v>654163538.75999999</v>
      </c>
      <c r="C28" s="44">
        <f t="shared" ref="C28:D28" si="9">SUM(C19:C27)</f>
        <v>653647330.39999998</v>
      </c>
      <c r="D28" s="44">
        <f t="shared" si="9"/>
        <v>653647330.39999998</v>
      </c>
      <c r="E28" s="27">
        <f t="shared" ref="E28" si="10">D28*100/B28</f>
        <v>99.921088790583084</v>
      </c>
      <c r="F28" s="27">
        <f t="shared" ref="F28" si="11">C28*100/B28</f>
        <v>99.921088790583084</v>
      </c>
    </row>
    <row r="29" spans="1:6" ht="33.75" customHeight="1">
      <c r="A29" s="58" t="s">
        <v>148</v>
      </c>
      <c r="B29" s="58"/>
      <c r="C29" s="58"/>
      <c r="D29" s="58"/>
      <c r="E29" s="58"/>
      <c r="F29" s="58"/>
    </row>
    <row r="30" spans="1:6" ht="62.4">
      <c r="A30" s="29" t="s">
        <v>101</v>
      </c>
      <c r="B30" s="30">
        <v>43699800</v>
      </c>
      <c r="C30" s="30">
        <v>43699678.939999998</v>
      </c>
      <c r="D30" s="30">
        <v>43699678.939999998</v>
      </c>
      <c r="E30" s="31">
        <f t="shared" ref="E30:E31" si="12">D30*100/B30</f>
        <v>99.999722973560523</v>
      </c>
      <c r="F30" s="31">
        <f t="shared" ref="F30:F31" si="13">C30*100/B30</f>
        <v>99.999722973560523</v>
      </c>
    </row>
    <row r="31" spans="1:6" ht="221.25" customHeight="1">
      <c r="A31" s="32" t="s">
        <v>178</v>
      </c>
      <c r="B31" s="30">
        <v>18238600</v>
      </c>
      <c r="C31" s="30">
        <v>18238600</v>
      </c>
      <c r="D31" s="30">
        <v>18238600</v>
      </c>
      <c r="E31" s="31">
        <f t="shared" si="12"/>
        <v>100</v>
      </c>
      <c r="F31" s="31">
        <f t="shared" si="13"/>
        <v>100</v>
      </c>
    </row>
    <row r="32" spans="1:6" ht="81" customHeight="1">
      <c r="A32" s="32" t="s">
        <v>175</v>
      </c>
      <c r="B32" s="30">
        <v>1142458.6200000001</v>
      </c>
      <c r="C32" s="30">
        <v>1142458.6200000001</v>
      </c>
      <c r="D32" s="30">
        <v>1142458.6200000001</v>
      </c>
      <c r="E32" s="31">
        <f t="shared" ref="E32" si="14">D32*100/B32</f>
        <v>100</v>
      </c>
      <c r="F32" s="31">
        <f t="shared" ref="F32" si="15">C32*100/B32</f>
        <v>100</v>
      </c>
    </row>
    <row r="33" spans="1:6" s="8" customFormat="1" ht="20.25" customHeight="1">
      <c r="A33" s="43" t="s">
        <v>156</v>
      </c>
      <c r="B33" s="26">
        <f>SUM(B30:B32)</f>
        <v>63080858.619999997</v>
      </c>
      <c r="C33" s="26">
        <f t="shared" ref="C33:D33" si="16">SUM(C30:C32)</f>
        <v>63080737.559999995</v>
      </c>
      <c r="D33" s="26">
        <f t="shared" si="16"/>
        <v>63080737.559999995</v>
      </c>
      <c r="E33" s="26">
        <f>D33*100/B33</f>
        <v>99.999808087583688</v>
      </c>
      <c r="F33" s="26">
        <f>C33*100/B33</f>
        <v>99.999808087583688</v>
      </c>
    </row>
    <row r="34" spans="1:6" ht="26.25" customHeight="1">
      <c r="A34" s="47" t="s">
        <v>33</v>
      </c>
      <c r="B34" s="47"/>
      <c r="C34" s="47"/>
      <c r="D34" s="47"/>
      <c r="E34" s="47"/>
      <c r="F34" s="47"/>
    </row>
    <row r="35" spans="1:6" ht="63" customHeight="1">
      <c r="A35" s="29" t="s">
        <v>150</v>
      </c>
      <c r="B35" s="30">
        <v>11602700</v>
      </c>
      <c r="C35" s="30">
        <v>11602672.800000001</v>
      </c>
      <c r="D35" s="30">
        <v>11602672.800000001</v>
      </c>
      <c r="E35" s="31">
        <f t="shared" ref="E35:E38" si="17">D35*100/B35</f>
        <v>99.999765571806563</v>
      </c>
      <c r="F35" s="31">
        <f t="shared" ref="F35:F38" si="18">C35*100/B35</f>
        <v>99.999765571806563</v>
      </c>
    </row>
    <row r="36" spans="1:6" ht="75.75" customHeight="1">
      <c r="A36" s="32" t="s">
        <v>175</v>
      </c>
      <c r="B36" s="30">
        <v>1544230.9</v>
      </c>
      <c r="C36" s="30">
        <v>1544130.53</v>
      </c>
      <c r="D36" s="30">
        <v>1544130.53</v>
      </c>
      <c r="E36" s="31">
        <f t="shared" si="17"/>
        <v>99.993500324336225</v>
      </c>
      <c r="F36" s="31">
        <f t="shared" si="18"/>
        <v>99.993500324336225</v>
      </c>
    </row>
    <row r="37" spans="1:6" ht="62.4">
      <c r="A37" s="29" t="s">
        <v>116</v>
      </c>
      <c r="B37" s="30">
        <v>1398954</v>
      </c>
      <c r="C37" s="30">
        <v>1343978.9</v>
      </c>
      <c r="D37" s="30">
        <v>1343978.9</v>
      </c>
      <c r="E37" s="31">
        <f t="shared" si="17"/>
        <v>96.070271073959546</v>
      </c>
      <c r="F37" s="31">
        <f t="shared" si="18"/>
        <v>96.070271073959546</v>
      </c>
    </row>
    <row r="38" spans="1:6" ht="65.25" customHeight="1">
      <c r="A38" s="29" t="s">
        <v>117</v>
      </c>
      <c r="B38" s="30">
        <v>356478.25</v>
      </c>
      <c r="C38" s="30">
        <v>356476.25</v>
      </c>
      <c r="D38" s="30">
        <v>356476.25</v>
      </c>
      <c r="E38" s="31">
        <f t="shared" si="17"/>
        <v>99.999438955953138</v>
      </c>
      <c r="F38" s="31">
        <f t="shared" si="18"/>
        <v>99.999438955953138</v>
      </c>
    </row>
    <row r="39" spans="1:6" ht="62.4">
      <c r="A39" s="29" t="s">
        <v>118</v>
      </c>
      <c r="B39" s="30">
        <v>2252395.2000000002</v>
      </c>
      <c r="C39" s="30">
        <v>2252395.2000000002</v>
      </c>
      <c r="D39" s="30">
        <v>2252395.2000000002</v>
      </c>
      <c r="E39" s="31">
        <f t="shared" si="7"/>
        <v>100</v>
      </c>
      <c r="F39" s="31">
        <f t="shared" si="8"/>
        <v>100</v>
      </c>
    </row>
    <row r="40" spans="1:6" ht="60" customHeight="1">
      <c r="A40" s="29" t="s">
        <v>119</v>
      </c>
      <c r="B40" s="30">
        <v>4203574.28</v>
      </c>
      <c r="C40" s="30">
        <v>4198026.96</v>
      </c>
      <c r="D40" s="30">
        <v>4198026.96</v>
      </c>
      <c r="E40" s="31">
        <f t="shared" si="7"/>
        <v>99.868033258591538</v>
      </c>
      <c r="F40" s="31">
        <f t="shared" si="8"/>
        <v>99.868033258591538</v>
      </c>
    </row>
    <row r="41" spans="1:6" ht="187.2">
      <c r="A41" s="32" t="s">
        <v>113</v>
      </c>
      <c r="B41" s="30">
        <v>630630</v>
      </c>
      <c r="C41" s="30">
        <v>495688.95</v>
      </c>
      <c r="D41" s="30">
        <v>495688.95</v>
      </c>
      <c r="E41" s="31">
        <f t="shared" si="7"/>
        <v>78.602183530754957</v>
      </c>
      <c r="F41" s="31">
        <f t="shared" si="8"/>
        <v>78.602183530754957</v>
      </c>
    </row>
    <row r="42" spans="1:6" ht="93.6">
      <c r="A42" s="32" t="s">
        <v>149</v>
      </c>
      <c r="B42" s="30">
        <v>1785729</v>
      </c>
      <c r="C42" s="30">
        <v>1785729</v>
      </c>
      <c r="D42" s="30">
        <v>1785729</v>
      </c>
      <c r="E42" s="31">
        <f t="shared" si="7"/>
        <v>100</v>
      </c>
      <c r="F42" s="31">
        <f t="shared" si="8"/>
        <v>100</v>
      </c>
    </row>
    <row r="43" spans="1:6" s="8" customFormat="1" ht="20.25" customHeight="1">
      <c r="A43" s="43" t="s">
        <v>156</v>
      </c>
      <c r="B43" s="36">
        <f>SUM(B35:B42)</f>
        <v>23774691.630000003</v>
      </c>
      <c r="C43" s="36">
        <f t="shared" ref="C43:D43" si="19">SUM(C35:C42)</f>
        <v>23579098.59</v>
      </c>
      <c r="D43" s="36">
        <f t="shared" si="19"/>
        <v>23579098.59</v>
      </c>
      <c r="E43" s="27">
        <f t="shared" si="7"/>
        <v>99.177305670063063</v>
      </c>
      <c r="F43" s="27">
        <f t="shared" si="8"/>
        <v>99.177305670063063</v>
      </c>
    </row>
    <row r="44" spans="1:6" ht="70.5" customHeight="1">
      <c r="A44" s="48" t="s">
        <v>34</v>
      </c>
      <c r="B44" s="48"/>
      <c r="C44" s="48"/>
      <c r="D44" s="48"/>
      <c r="E44" s="48"/>
      <c r="F44" s="48"/>
    </row>
    <row r="45" spans="1:6" ht="62.4">
      <c r="A45" s="29" t="s">
        <v>101</v>
      </c>
      <c r="B45" s="30">
        <v>4299928</v>
      </c>
      <c r="C45" s="30">
        <v>4299706.97</v>
      </c>
      <c r="D45" s="30">
        <v>4299706.97</v>
      </c>
      <c r="E45" s="31">
        <f t="shared" si="7"/>
        <v>99.994859681371409</v>
      </c>
      <c r="F45" s="31">
        <f t="shared" si="8"/>
        <v>99.994859681371409</v>
      </c>
    </row>
    <row r="46" spans="1:6" ht="82.5" customHeight="1">
      <c r="A46" s="32" t="s">
        <v>132</v>
      </c>
      <c r="B46" s="30">
        <v>255358</v>
      </c>
      <c r="C46" s="30">
        <v>255358</v>
      </c>
      <c r="D46" s="30">
        <v>255358</v>
      </c>
      <c r="E46" s="31">
        <f t="shared" si="7"/>
        <v>100</v>
      </c>
      <c r="F46" s="31">
        <f t="shared" si="8"/>
        <v>100</v>
      </c>
    </row>
    <row r="47" spans="1:6" ht="78">
      <c r="A47" s="32" t="s">
        <v>25</v>
      </c>
      <c r="B47" s="30">
        <v>6253693</v>
      </c>
      <c r="C47" s="30">
        <v>6140649.6699999999</v>
      </c>
      <c r="D47" s="30">
        <v>6140649.6699999999</v>
      </c>
      <c r="E47" s="31">
        <f t="shared" si="7"/>
        <v>98.192374809572513</v>
      </c>
      <c r="F47" s="31">
        <f t="shared" si="8"/>
        <v>98.192374809572513</v>
      </c>
    </row>
    <row r="48" spans="1:6" ht="78">
      <c r="A48" s="29" t="s">
        <v>26</v>
      </c>
      <c r="B48" s="30">
        <v>40577652</v>
      </c>
      <c r="C48" s="30">
        <v>40490981.880000003</v>
      </c>
      <c r="D48" s="30">
        <v>40490981.880000003</v>
      </c>
      <c r="E48" s="31">
        <f t="shared" si="7"/>
        <v>99.786409228409781</v>
      </c>
      <c r="F48" s="31">
        <f t="shared" si="8"/>
        <v>99.786409228409781</v>
      </c>
    </row>
    <row r="49" spans="1:6" ht="109.2">
      <c r="A49" s="32" t="s">
        <v>154</v>
      </c>
      <c r="B49" s="30">
        <v>6990340.4100000001</v>
      </c>
      <c r="C49" s="30">
        <v>6973846.0599999996</v>
      </c>
      <c r="D49" s="30">
        <v>6973846.0599999996</v>
      </c>
      <c r="E49" s="31">
        <f t="shared" si="7"/>
        <v>99.764040818721725</v>
      </c>
      <c r="F49" s="31">
        <f t="shared" si="8"/>
        <v>99.764040818721725</v>
      </c>
    </row>
    <row r="50" spans="1:6" s="8" customFormat="1" ht="32.4" customHeight="1">
      <c r="A50" s="43" t="s">
        <v>156</v>
      </c>
      <c r="B50" s="26">
        <f>SUM(B45:B49)</f>
        <v>58376971.409999996</v>
      </c>
      <c r="C50" s="26">
        <f t="shared" ref="C50:D50" si="20">SUM(C45:C49)</f>
        <v>58160542.580000006</v>
      </c>
      <c r="D50" s="26">
        <f t="shared" si="20"/>
        <v>58160542.580000006</v>
      </c>
      <c r="E50" s="27">
        <f>D50*100/B50</f>
        <v>99.629256494860044</v>
      </c>
      <c r="F50" s="27">
        <f t="shared" si="8"/>
        <v>99.629256494860044</v>
      </c>
    </row>
    <row r="51" spans="1:6" ht="31.2">
      <c r="A51" s="28" t="s">
        <v>179</v>
      </c>
      <c r="B51" s="26">
        <f>B50+B43+B28+B17+B33</f>
        <v>1371039804.23</v>
      </c>
      <c r="C51" s="26">
        <f>C50+C43+C28+C17+C33</f>
        <v>1368946115.1399999</v>
      </c>
      <c r="D51" s="26">
        <f>D50+D43+D28+D17+D33</f>
        <v>1368946115.1399999</v>
      </c>
      <c r="E51" s="27">
        <f>D51*100/B51</f>
        <v>99.847291881421626</v>
      </c>
      <c r="F51" s="27">
        <f>C51*100/B51</f>
        <v>99.847291881421626</v>
      </c>
    </row>
    <row r="54" spans="1:6" s="45" customFormat="1" ht="21"/>
    <row r="55" spans="1:6" s="45" customFormat="1" ht="21"/>
    <row r="56" spans="1:6" s="45" customFormat="1" ht="21"/>
  </sheetData>
  <mergeCells count="8">
    <mergeCell ref="A34:F34"/>
    <mergeCell ref="A44:F44"/>
    <mergeCell ref="E1:F1"/>
    <mergeCell ref="D2:F2"/>
    <mergeCell ref="A4:F4"/>
    <mergeCell ref="A8:F8"/>
    <mergeCell ref="A18:F18"/>
    <mergeCell ref="A29:F29"/>
  </mergeCells>
  <pageMargins left="0.31496062992125984" right="0.19685039370078741" top="0.47244094488188981" bottom="0.17" header="0.15748031496062992" footer="0.17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66"/>
  <sheetViews>
    <sheetView showGridLines="0" view="pageBreakPreview" zoomScale="85" zoomScaleNormal="75" zoomScaleSheetLayoutView="85" workbookViewId="0">
      <pane ySplit="6" topLeftCell="A55" activePane="bottomLeft" state="frozen"/>
      <selection pane="bottomLeft" activeCell="D3" sqref="D3"/>
    </sheetView>
  </sheetViews>
  <sheetFormatPr defaultColWidth="9.109375" defaultRowHeight="13.2"/>
  <cols>
    <col min="1" max="1" width="45.6640625" style="1" customWidth="1"/>
    <col min="2" max="2" width="17.33203125" style="1" customWidth="1"/>
    <col min="3" max="4" width="16.33203125" style="1" customWidth="1"/>
    <col min="5" max="5" width="15.44140625" style="1" customWidth="1"/>
    <col min="6" max="6" width="16.5546875" style="1" customWidth="1"/>
    <col min="7" max="16384" width="9.109375" style="1"/>
  </cols>
  <sheetData>
    <row r="1" spans="1:6" ht="18">
      <c r="D1" s="39"/>
      <c r="E1" s="59" t="s">
        <v>51</v>
      </c>
      <c r="F1" s="60"/>
    </row>
    <row r="2" spans="1:6" s="19" customFormat="1" ht="62.4" customHeight="1">
      <c r="A2" s="18"/>
      <c r="B2" s="18"/>
      <c r="D2" s="61" t="s">
        <v>172</v>
      </c>
      <c r="E2" s="62"/>
      <c r="F2" s="62"/>
    </row>
    <row r="3" spans="1:6" s="19" customFormat="1" ht="15.6">
      <c r="A3" s="18"/>
      <c r="B3" s="18"/>
      <c r="D3" s="18"/>
    </row>
    <row r="4" spans="1:6" s="19" customFormat="1" ht="38.4" customHeight="1">
      <c r="A4" s="53" t="s">
        <v>171</v>
      </c>
      <c r="B4" s="53"/>
      <c r="C4" s="53"/>
      <c r="D4" s="53"/>
      <c r="E4" s="53"/>
      <c r="F4" s="53"/>
    </row>
    <row r="5" spans="1:6" ht="18" customHeight="1">
      <c r="A5" s="3"/>
      <c r="B5" s="3"/>
      <c r="C5" s="3"/>
      <c r="D5" s="3"/>
      <c r="E5" s="2"/>
      <c r="F5" s="22" t="s">
        <v>49</v>
      </c>
    </row>
    <row r="6" spans="1:6" s="4" customFormat="1" ht="62.4">
      <c r="A6" s="37" t="s">
        <v>30</v>
      </c>
      <c r="B6" s="37" t="s">
        <v>168</v>
      </c>
      <c r="C6" s="37" t="s">
        <v>169</v>
      </c>
      <c r="D6" s="37" t="s">
        <v>170</v>
      </c>
      <c r="E6" s="38" t="s">
        <v>31</v>
      </c>
      <c r="F6" s="38" t="s">
        <v>32</v>
      </c>
    </row>
    <row r="7" spans="1:6" s="4" customFormat="1">
      <c r="A7" s="40" t="s">
        <v>93</v>
      </c>
      <c r="B7" s="40" t="s">
        <v>94</v>
      </c>
      <c r="C7" s="40" t="s">
        <v>95</v>
      </c>
      <c r="D7" s="40" t="s">
        <v>96</v>
      </c>
      <c r="E7" s="41">
        <v>5</v>
      </c>
      <c r="F7" s="41">
        <v>6</v>
      </c>
    </row>
    <row r="8" spans="1:6" ht="49.2" customHeight="1">
      <c r="A8" s="54" t="s">
        <v>50</v>
      </c>
      <c r="B8" s="55"/>
      <c r="C8" s="55"/>
      <c r="D8" s="55"/>
      <c r="E8" s="55"/>
      <c r="F8" s="56"/>
    </row>
    <row r="9" spans="1:6" ht="93.6">
      <c r="A9" s="29" t="s">
        <v>101</v>
      </c>
      <c r="B9" s="30">
        <f>145906603.06/1000</f>
        <v>145906.60305999999</v>
      </c>
      <c r="C9" s="30">
        <f>145645543.44/1000</f>
        <v>145645.54344000001</v>
      </c>
      <c r="D9" s="30">
        <f>145645543.44/1000</f>
        <v>145645.54344000001</v>
      </c>
      <c r="E9" s="31">
        <f>D9*100/B9</f>
        <v>99.821077583519212</v>
      </c>
      <c r="F9" s="31">
        <f>C9*100/B9</f>
        <v>99.821077583519212</v>
      </c>
    </row>
    <row r="10" spans="1:6" ht="124.8">
      <c r="A10" s="32" t="s">
        <v>138</v>
      </c>
      <c r="B10" s="30">
        <f>1250771/1000</f>
        <v>1250.771</v>
      </c>
      <c r="C10" s="30">
        <f>1168500.03/1000</f>
        <v>1168.5000299999999</v>
      </c>
      <c r="D10" s="30">
        <f>1168500.03/1000</f>
        <v>1168.5000299999999</v>
      </c>
      <c r="E10" s="31">
        <f t="shared" ref="E10:E19" si="0">D10*100/B10</f>
        <v>93.422379476338989</v>
      </c>
      <c r="F10" s="31">
        <f t="shared" ref="F10:F19" si="1">C10*100/B10</f>
        <v>93.422379476338989</v>
      </c>
    </row>
    <row r="11" spans="1:6" ht="109.2">
      <c r="A11" s="29" t="s">
        <v>103</v>
      </c>
      <c r="B11" s="30">
        <f>70500/1000</f>
        <v>70.5</v>
      </c>
      <c r="C11" s="30">
        <f>70500/1000</f>
        <v>70.5</v>
      </c>
      <c r="D11" s="30">
        <f>70500/1000</f>
        <v>70.5</v>
      </c>
      <c r="E11" s="31">
        <f t="shared" si="0"/>
        <v>100</v>
      </c>
      <c r="F11" s="31">
        <f t="shared" si="1"/>
        <v>100</v>
      </c>
    </row>
    <row r="12" spans="1:6" ht="312">
      <c r="A12" s="32" t="s">
        <v>104</v>
      </c>
      <c r="B12" s="30">
        <f>102068200/1000</f>
        <v>102068.2</v>
      </c>
      <c r="C12" s="30">
        <f>95134884.34/1000</f>
        <v>95134.884340000004</v>
      </c>
      <c r="D12" s="30">
        <f>95134884.34/1000</f>
        <v>95134.884340000004</v>
      </c>
      <c r="E12" s="31">
        <f t="shared" si="0"/>
        <v>93.207173576099123</v>
      </c>
      <c r="F12" s="31">
        <f t="shared" si="1"/>
        <v>93.207173576099123</v>
      </c>
    </row>
    <row r="13" spans="1:6" ht="249.6">
      <c r="A13" s="32" t="s">
        <v>139</v>
      </c>
      <c r="B13" s="30">
        <f>2216300/1000</f>
        <v>2216.3000000000002</v>
      </c>
      <c r="C13" s="30">
        <f>2048160.07/1000</f>
        <v>2048.1600699999999</v>
      </c>
      <c r="D13" s="30">
        <f>2048160.07/1000</f>
        <v>2048.1600699999999</v>
      </c>
      <c r="E13" s="31">
        <f t="shared" si="0"/>
        <v>92.413485087758858</v>
      </c>
      <c r="F13" s="31">
        <f t="shared" si="1"/>
        <v>92.413485087758858</v>
      </c>
    </row>
    <row r="14" spans="1:6" ht="327.60000000000002">
      <c r="A14" s="32" t="s">
        <v>106</v>
      </c>
      <c r="B14" s="30">
        <f>240403330/1000</f>
        <v>240403.33</v>
      </c>
      <c r="C14" s="30">
        <f>240347176.18/1000</f>
        <v>240347.17618000001</v>
      </c>
      <c r="D14" s="30">
        <f>240347176.18/1000</f>
        <v>240347.17618000001</v>
      </c>
      <c r="E14" s="31">
        <f t="shared" si="0"/>
        <v>99.976641829378991</v>
      </c>
      <c r="F14" s="31">
        <f t="shared" si="1"/>
        <v>99.976641829378991</v>
      </c>
    </row>
    <row r="15" spans="1:6" ht="78">
      <c r="A15" s="29" t="s">
        <v>140</v>
      </c>
      <c r="B15" s="30">
        <f>1216519.56/1000</f>
        <v>1216.51956</v>
      </c>
      <c r="C15" s="30">
        <f>1216519.55/1000</f>
        <v>1216.51955</v>
      </c>
      <c r="D15" s="30">
        <f>1216519.55/1000</f>
        <v>1216.51955</v>
      </c>
      <c r="E15" s="31">
        <f t="shared" si="0"/>
        <v>99.999999177982801</v>
      </c>
      <c r="F15" s="31">
        <f t="shared" si="1"/>
        <v>99.999999177982801</v>
      </c>
    </row>
    <row r="16" spans="1:6" ht="140.4">
      <c r="A16" s="32" t="s">
        <v>124</v>
      </c>
      <c r="B16" s="30">
        <f>1770200/1000</f>
        <v>1770.2</v>
      </c>
      <c r="C16" s="30">
        <f>1770084.08/1000</f>
        <v>1770.0840800000001</v>
      </c>
      <c r="D16" s="30">
        <f>1770084.08/1000</f>
        <v>1770.0840800000001</v>
      </c>
      <c r="E16" s="31">
        <f t="shared" si="0"/>
        <v>99.993451587391249</v>
      </c>
      <c r="F16" s="31">
        <f t="shared" si="1"/>
        <v>99.993451587391249</v>
      </c>
    </row>
    <row r="17" spans="1:6" ht="93.6">
      <c r="A17" s="29" t="s">
        <v>141</v>
      </c>
      <c r="B17" s="30">
        <f>10300/1000</f>
        <v>10.3</v>
      </c>
      <c r="C17" s="30">
        <f>10300/1000</f>
        <v>10.3</v>
      </c>
      <c r="D17" s="30">
        <f>10300/1000</f>
        <v>10.3</v>
      </c>
      <c r="E17" s="31">
        <f t="shared" si="0"/>
        <v>100</v>
      </c>
      <c r="F17" s="31">
        <f t="shared" si="1"/>
        <v>100</v>
      </c>
    </row>
    <row r="18" spans="1:6" ht="140.4">
      <c r="A18" s="32" t="s">
        <v>107</v>
      </c>
      <c r="B18" s="30">
        <f>2976688.34/1000</f>
        <v>2976.6883399999997</v>
      </c>
      <c r="C18" s="30">
        <f>2976688.34/1000</f>
        <v>2976.6883399999997</v>
      </c>
      <c r="D18" s="30">
        <f>2976688.34/1000</f>
        <v>2976.6883399999997</v>
      </c>
      <c r="E18" s="31">
        <f t="shared" si="0"/>
        <v>100</v>
      </c>
      <c r="F18" s="31">
        <f t="shared" si="1"/>
        <v>100</v>
      </c>
    </row>
    <row r="19" spans="1:6" ht="124.8">
      <c r="A19" s="32" t="s">
        <v>142</v>
      </c>
      <c r="B19" s="30">
        <f>1000/1000</f>
        <v>1</v>
      </c>
      <c r="C19" s="30">
        <f>1000/1000</f>
        <v>1</v>
      </c>
      <c r="D19" s="30">
        <f>1000/1000</f>
        <v>1</v>
      </c>
      <c r="E19" s="31">
        <f t="shared" si="0"/>
        <v>100</v>
      </c>
      <c r="F19" s="31">
        <f t="shared" si="1"/>
        <v>100</v>
      </c>
    </row>
    <row r="20" spans="1:6" ht="93.6">
      <c r="A20" s="29" t="s">
        <v>143</v>
      </c>
      <c r="B20" s="30">
        <f>2250/1000</f>
        <v>2.25</v>
      </c>
      <c r="C20" s="30">
        <f>2250/1000</f>
        <v>2.25</v>
      </c>
      <c r="D20" s="30">
        <f>2250/1000</f>
        <v>2.25</v>
      </c>
      <c r="E20" s="31">
        <f t="shared" ref="E20:E22" si="2">D20*100/B20</f>
        <v>100</v>
      </c>
      <c r="F20" s="31">
        <f t="shared" ref="F20:F22" si="3">C20*100/B20</f>
        <v>100</v>
      </c>
    </row>
    <row r="21" spans="1:6" ht="156">
      <c r="A21" s="32" t="s">
        <v>144</v>
      </c>
      <c r="B21" s="30">
        <f>194722/1000</f>
        <v>194.72200000000001</v>
      </c>
      <c r="C21" s="30">
        <f>194709.25/1000</f>
        <v>194.70925</v>
      </c>
      <c r="D21" s="30">
        <f>194709.25/1000</f>
        <v>194.70925</v>
      </c>
      <c r="E21" s="31">
        <f t="shared" si="2"/>
        <v>99.993452203654428</v>
      </c>
      <c r="F21" s="31">
        <f t="shared" si="3"/>
        <v>99.993452203654428</v>
      </c>
    </row>
    <row r="22" spans="1:6" ht="156">
      <c r="A22" s="32" t="s">
        <v>145</v>
      </c>
      <c r="B22" s="30">
        <f>7910500/1000</f>
        <v>7910.5</v>
      </c>
      <c r="C22" s="30">
        <f>7546441.31/1000</f>
        <v>7546.4413099999992</v>
      </c>
      <c r="D22" s="30">
        <f>7546441.31/1000</f>
        <v>7546.4413099999992</v>
      </c>
      <c r="E22" s="31">
        <f t="shared" si="2"/>
        <v>95.397779027874336</v>
      </c>
      <c r="F22" s="31">
        <f t="shared" si="3"/>
        <v>95.397779027874336</v>
      </c>
    </row>
    <row r="23" spans="1:6" s="8" customFormat="1" ht="38.4" customHeight="1">
      <c r="A23" s="33" t="s">
        <v>156</v>
      </c>
      <c r="B23" s="26">
        <f>SUM(B9:B22)</f>
        <v>505997.88396000001</v>
      </c>
      <c r="C23" s="26">
        <f t="shared" ref="C23:D23" si="4">SUM(C9:C22)</f>
        <v>498132.75659000012</v>
      </c>
      <c r="D23" s="26">
        <f t="shared" si="4"/>
        <v>498132.75659000012</v>
      </c>
      <c r="E23" s="26">
        <f>D23*100/B23</f>
        <v>98.445620501720981</v>
      </c>
      <c r="F23" s="26">
        <f>C23*100/B23</f>
        <v>98.445620501720981</v>
      </c>
    </row>
    <row r="24" spans="1:6" ht="69.599999999999994" customHeight="1">
      <c r="A24" s="57" t="s">
        <v>153</v>
      </c>
      <c r="B24" s="57"/>
      <c r="C24" s="57"/>
      <c r="D24" s="57"/>
      <c r="E24" s="57"/>
      <c r="F24" s="57"/>
    </row>
    <row r="25" spans="1:6" ht="93.6">
      <c r="A25" s="29" t="s">
        <v>101</v>
      </c>
      <c r="B25" s="30">
        <f>131947260.61/1000</f>
        <v>131947.26061</v>
      </c>
      <c r="C25" s="30">
        <f>131934815.57/1000</f>
        <v>131934.81557000001</v>
      </c>
      <c r="D25" s="30">
        <f>131934815.57/1000</f>
        <v>131934.81557000001</v>
      </c>
      <c r="E25" s="31">
        <f t="shared" ref="E25:E55" si="5">D25*100/B25</f>
        <v>99.990568170993114</v>
      </c>
      <c r="F25" s="31">
        <f t="shared" ref="F25:F56" si="6">C25*100/B25</f>
        <v>99.990568170993114</v>
      </c>
    </row>
    <row r="26" spans="1:6" ht="327.60000000000002">
      <c r="A26" s="32" t="s">
        <v>121</v>
      </c>
      <c r="B26" s="30">
        <f>55696500/1000</f>
        <v>55696.5</v>
      </c>
      <c r="C26" s="30">
        <f>55205800/1000</f>
        <v>55205.8</v>
      </c>
      <c r="D26" s="30">
        <f>55205800/1000</f>
        <v>55205.8</v>
      </c>
      <c r="E26" s="31">
        <f t="shared" si="5"/>
        <v>99.118975160019033</v>
      </c>
      <c r="F26" s="31">
        <f t="shared" si="6"/>
        <v>99.118975160019033</v>
      </c>
    </row>
    <row r="27" spans="1:6" ht="93.6">
      <c r="A27" s="29" t="s">
        <v>146</v>
      </c>
      <c r="B27" s="30">
        <f>3400200/1000</f>
        <v>3400.2</v>
      </c>
      <c r="C27" s="30">
        <f>3400200/1000</f>
        <v>3400.2</v>
      </c>
      <c r="D27" s="30">
        <f>3400200/1000</f>
        <v>3400.2</v>
      </c>
      <c r="E27" s="31">
        <f t="shared" si="5"/>
        <v>100</v>
      </c>
      <c r="F27" s="31">
        <f t="shared" si="6"/>
        <v>100</v>
      </c>
    </row>
    <row r="28" spans="1:6" ht="343.2">
      <c r="A28" s="32" t="s">
        <v>123</v>
      </c>
      <c r="B28" s="30">
        <f>389112500/1000</f>
        <v>389112.5</v>
      </c>
      <c r="C28" s="30">
        <f>389112500/1000</f>
        <v>389112.5</v>
      </c>
      <c r="D28" s="30">
        <f>389112500/1000</f>
        <v>389112.5</v>
      </c>
      <c r="E28" s="31">
        <f t="shared" si="5"/>
        <v>100</v>
      </c>
      <c r="F28" s="31">
        <f t="shared" si="6"/>
        <v>100</v>
      </c>
    </row>
    <row r="29" spans="1:6" ht="171.6">
      <c r="A29" s="32" t="s">
        <v>157</v>
      </c>
      <c r="B29" s="30">
        <f>34230200/1000</f>
        <v>34230.199999999997</v>
      </c>
      <c r="C29" s="30">
        <f>33104282.84/1000</f>
        <v>33104.28284</v>
      </c>
      <c r="D29" s="30">
        <f>33104282.84/1000</f>
        <v>33104.28284</v>
      </c>
      <c r="E29" s="31">
        <f t="shared" ref="E29" si="7">D29*100/B29</f>
        <v>96.710749104591855</v>
      </c>
      <c r="F29" s="31">
        <f t="shared" ref="F29" si="8">C29*100/B29</f>
        <v>96.710749104591855</v>
      </c>
    </row>
    <row r="30" spans="1:6" ht="140.4">
      <c r="A30" s="32" t="s">
        <v>125</v>
      </c>
      <c r="B30" s="30">
        <f>366993/1000</f>
        <v>366.99299999999999</v>
      </c>
      <c r="C30" s="30">
        <f>366993/1000</f>
        <v>366.99299999999999</v>
      </c>
      <c r="D30" s="30">
        <f>366993/1000</f>
        <v>366.99299999999999</v>
      </c>
      <c r="E30" s="31">
        <f t="shared" si="5"/>
        <v>100.00000000000001</v>
      </c>
      <c r="F30" s="31">
        <f t="shared" si="6"/>
        <v>100.00000000000001</v>
      </c>
    </row>
    <row r="31" spans="1:6" ht="234">
      <c r="A31" s="32" t="s">
        <v>126</v>
      </c>
      <c r="B31" s="30">
        <f>150000/1000</f>
        <v>150</v>
      </c>
      <c r="C31" s="30">
        <f>150000/1000</f>
        <v>150</v>
      </c>
      <c r="D31" s="30">
        <f>150000/1000</f>
        <v>150</v>
      </c>
      <c r="E31" s="31">
        <f t="shared" si="5"/>
        <v>100</v>
      </c>
      <c r="F31" s="31">
        <f t="shared" si="6"/>
        <v>100</v>
      </c>
    </row>
    <row r="32" spans="1:6" ht="109.2">
      <c r="A32" s="29" t="s">
        <v>147</v>
      </c>
      <c r="B32" s="30">
        <f>34346/1000</f>
        <v>34.345999999999997</v>
      </c>
      <c r="C32" s="30">
        <f>34346/1000</f>
        <v>34.345999999999997</v>
      </c>
      <c r="D32" s="30">
        <f>34346/1000</f>
        <v>34.345999999999997</v>
      </c>
      <c r="E32" s="31">
        <f t="shared" si="5"/>
        <v>100</v>
      </c>
      <c r="F32" s="31">
        <f t="shared" si="6"/>
        <v>100</v>
      </c>
    </row>
    <row r="33" spans="1:6" ht="93.6">
      <c r="A33" s="29" t="s">
        <v>101</v>
      </c>
      <c r="B33" s="30">
        <f>3694767/1000</f>
        <v>3694.7669999999998</v>
      </c>
      <c r="C33" s="30">
        <f>3646702.02/1000</f>
        <v>3646.7020200000002</v>
      </c>
      <c r="D33" s="30">
        <f>3646702.02/1000</f>
        <v>3646.7020200000002</v>
      </c>
      <c r="E33" s="31">
        <f t="shared" ref="E33" si="9">D33*100/B33</f>
        <v>98.699106601309367</v>
      </c>
      <c r="F33" s="31">
        <f t="shared" ref="F33" si="10">C33*100/B33</f>
        <v>98.699106601309367</v>
      </c>
    </row>
    <row r="34" spans="1:6" s="8" customFormat="1" ht="39" customHeight="1">
      <c r="A34" s="43" t="s">
        <v>156</v>
      </c>
      <c r="B34" s="44">
        <f>SUM(B25:B33)</f>
        <v>618632.76660999993</v>
      </c>
      <c r="C34" s="44">
        <f>SUM(C25:C33)</f>
        <v>616955.6394300001</v>
      </c>
      <c r="D34" s="44">
        <f>SUM(D25:D33)</f>
        <v>616955.6394300001</v>
      </c>
      <c r="E34" s="26">
        <f>D34*100/B34</f>
        <v>99.728897777401897</v>
      </c>
      <c r="F34" s="26">
        <f>C34*100/B34</f>
        <v>99.728897777401897</v>
      </c>
    </row>
    <row r="35" spans="1:6" ht="40.950000000000003" customHeight="1">
      <c r="A35" s="58" t="s">
        <v>148</v>
      </c>
      <c r="B35" s="58"/>
      <c r="C35" s="58"/>
      <c r="D35" s="58"/>
      <c r="E35" s="58"/>
      <c r="F35" s="58"/>
    </row>
    <row r="36" spans="1:6" ht="93.6">
      <c r="A36" s="29" t="s">
        <v>101</v>
      </c>
      <c r="B36" s="30">
        <f>38947449.6/1000</f>
        <v>38947.4496</v>
      </c>
      <c r="C36" s="30">
        <f>38945142.92/1000</f>
        <v>38945.142919999998</v>
      </c>
      <c r="D36" s="30">
        <f>38945142.92/1000</f>
        <v>38945.142919999998</v>
      </c>
      <c r="E36" s="31">
        <f t="shared" ref="E36:E37" si="11">D36*100/B36</f>
        <v>99.994077455587743</v>
      </c>
      <c r="F36" s="31">
        <f t="shared" ref="F36:F37" si="12">C36*100/B36</f>
        <v>99.994077455587743</v>
      </c>
    </row>
    <row r="37" spans="1:6" ht="109.2">
      <c r="A37" s="29" t="s">
        <v>128</v>
      </c>
      <c r="B37" s="30">
        <f>200000/1000</f>
        <v>200</v>
      </c>
      <c r="C37" s="30">
        <f>200000/1000</f>
        <v>200</v>
      </c>
      <c r="D37" s="30">
        <f>200000/1000</f>
        <v>200</v>
      </c>
      <c r="E37" s="31">
        <f t="shared" si="11"/>
        <v>100</v>
      </c>
      <c r="F37" s="31">
        <f t="shared" si="12"/>
        <v>100</v>
      </c>
    </row>
    <row r="38" spans="1:6" s="8" customFormat="1" ht="27.6" customHeight="1">
      <c r="A38" s="43" t="s">
        <v>156</v>
      </c>
      <c r="B38" s="26">
        <f>SUM(B36:B37)</f>
        <v>39147.4496</v>
      </c>
      <c r="C38" s="26">
        <f t="shared" ref="C38:D38" si="13">SUM(C36:C37)</f>
        <v>39145.142919999998</v>
      </c>
      <c r="D38" s="26">
        <f t="shared" si="13"/>
        <v>39145.142919999998</v>
      </c>
      <c r="E38" s="26">
        <f>D38*100/B38</f>
        <v>99.99410771321358</v>
      </c>
      <c r="F38" s="26">
        <f>C38*100/B38</f>
        <v>99.99410771321358</v>
      </c>
    </row>
    <row r="39" spans="1:6" ht="45.6" customHeight="1">
      <c r="A39" s="47" t="s">
        <v>33</v>
      </c>
      <c r="B39" s="47"/>
      <c r="C39" s="47"/>
      <c r="D39" s="47"/>
      <c r="E39" s="47"/>
      <c r="F39" s="47"/>
    </row>
    <row r="40" spans="1:6" ht="265.2">
      <c r="A40" s="32" t="s">
        <v>113</v>
      </c>
      <c r="B40" s="30">
        <f>519400/1000</f>
        <v>519.4</v>
      </c>
      <c r="C40" s="30">
        <f>519250.06/1000</f>
        <v>519.25005999999996</v>
      </c>
      <c r="D40" s="30">
        <f>519250.06/1000</f>
        <v>519.25005999999996</v>
      </c>
      <c r="E40" s="31">
        <f t="shared" si="5"/>
        <v>99.971132075471687</v>
      </c>
      <c r="F40" s="31">
        <f t="shared" si="6"/>
        <v>99.971132075471687</v>
      </c>
    </row>
    <row r="41" spans="1:6" ht="124.8">
      <c r="A41" s="32" t="s">
        <v>149</v>
      </c>
      <c r="B41" s="30">
        <f>3636400/1000</f>
        <v>3636.4</v>
      </c>
      <c r="C41" s="30">
        <f>3618031.05/1000</f>
        <v>3618.0310499999996</v>
      </c>
      <c r="D41" s="30">
        <f>3618031.05/1000</f>
        <v>3618.0310499999996</v>
      </c>
      <c r="E41" s="31">
        <f t="shared" si="5"/>
        <v>99.494858926410728</v>
      </c>
      <c r="F41" s="31">
        <f t="shared" si="6"/>
        <v>99.494858926410728</v>
      </c>
    </row>
    <row r="42" spans="1:6" ht="93.6">
      <c r="A42" s="29" t="s">
        <v>150</v>
      </c>
      <c r="B42" s="30">
        <f>9691500/1000</f>
        <v>9691.5</v>
      </c>
      <c r="C42" s="30">
        <f>9691427.63/1000</f>
        <v>9691.4276300000001</v>
      </c>
      <c r="D42" s="30">
        <f>9691427.63/1000</f>
        <v>9691.4276300000001</v>
      </c>
      <c r="E42" s="31">
        <f t="shared" si="5"/>
        <v>99.999253263168754</v>
      </c>
      <c r="F42" s="31">
        <f t="shared" si="6"/>
        <v>99.999253263168754</v>
      </c>
    </row>
    <row r="43" spans="1:6" ht="93.6">
      <c r="A43" s="29" t="s">
        <v>116</v>
      </c>
      <c r="B43" s="30">
        <f>1200291.23/1000</f>
        <v>1200.29123</v>
      </c>
      <c r="C43" s="30">
        <f>1200291.23/1000</f>
        <v>1200.29123</v>
      </c>
      <c r="D43" s="30">
        <f>1200291.23/1000</f>
        <v>1200.29123</v>
      </c>
      <c r="E43" s="31">
        <f t="shared" si="5"/>
        <v>100</v>
      </c>
      <c r="F43" s="31">
        <f t="shared" si="6"/>
        <v>100</v>
      </c>
    </row>
    <row r="44" spans="1:6" ht="109.2">
      <c r="A44" s="29" t="s">
        <v>117</v>
      </c>
      <c r="B44" s="30">
        <f>461450.71/1000</f>
        <v>461.45071000000002</v>
      </c>
      <c r="C44" s="30">
        <f>461450.71/1000</f>
        <v>461.45071000000002</v>
      </c>
      <c r="D44" s="30">
        <f>461450.71/1000</f>
        <v>461.45071000000002</v>
      </c>
      <c r="E44" s="31">
        <f t="shared" si="5"/>
        <v>100</v>
      </c>
      <c r="F44" s="31">
        <f t="shared" si="6"/>
        <v>100</v>
      </c>
    </row>
    <row r="45" spans="1:6" ht="78">
      <c r="A45" s="29" t="s">
        <v>118</v>
      </c>
      <c r="B45" s="30">
        <f>1874902.5/1000</f>
        <v>1874.9024999999999</v>
      </c>
      <c r="C45" s="30">
        <f>1874902.5/1000</f>
        <v>1874.9024999999999</v>
      </c>
      <c r="D45" s="30">
        <f>1874902.5/1000</f>
        <v>1874.9024999999999</v>
      </c>
      <c r="E45" s="31">
        <f t="shared" si="5"/>
        <v>100</v>
      </c>
      <c r="F45" s="31">
        <f t="shared" si="6"/>
        <v>100</v>
      </c>
    </row>
    <row r="46" spans="1:6" ht="109.2">
      <c r="A46" s="29" t="s">
        <v>119</v>
      </c>
      <c r="B46" s="30">
        <f>2172098.05/1000</f>
        <v>2172.0980499999996</v>
      </c>
      <c r="C46" s="30">
        <f>2151955.7/1000</f>
        <v>2151.9557</v>
      </c>
      <c r="D46" s="30">
        <f>2151955.7/1000</f>
        <v>2151.9557</v>
      </c>
      <c r="E46" s="31">
        <f t="shared" si="5"/>
        <v>99.072677681378167</v>
      </c>
      <c r="F46" s="31">
        <f t="shared" si="6"/>
        <v>99.072677681378167</v>
      </c>
    </row>
    <row r="47" spans="1:6" ht="280.8">
      <c r="A47" s="32" t="s">
        <v>151</v>
      </c>
      <c r="B47" s="30">
        <f>519.4/1000</f>
        <v>0.51939999999999997</v>
      </c>
      <c r="C47" s="30">
        <f>519.4/1000</f>
        <v>0.51939999999999997</v>
      </c>
      <c r="D47" s="30">
        <f>519.4/1000</f>
        <v>0.51939999999999997</v>
      </c>
      <c r="E47" s="31">
        <f t="shared" si="5"/>
        <v>100</v>
      </c>
      <c r="F47" s="31">
        <f t="shared" si="6"/>
        <v>100</v>
      </c>
    </row>
    <row r="48" spans="1:6" ht="140.4">
      <c r="A48" s="32" t="s">
        <v>152</v>
      </c>
      <c r="B48" s="30">
        <f>363640/1000</f>
        <v>363.64</v>
      </c>
      <c r="C48" s="30">
        <f>361803.11/1000</f>
        <v>361.80311</v>
      </c>
      <c r="D48" s="30">
        <f>361803.11/1000</f>
        <v>361.80311</v>
      </c>
      <c r="E48" s="31">
        <f t="shared" si="5"/>
        <v>99.494860301396997</v>
      </c>
      <c r="F48" s="31">
        <f t="shared" si="6"/>
        <v>99.494860301396997</v>
      </c>
    </row>
    <row r="49" spans="1:6" s="8" customFormat="1" ht="38.4" customHeight="1">
      <c r="A49" s="43" t="s">
        <v>156</v>
      </c>
      <c r="B49" s="36">
        <f>SUM(B40:B48)</f>
        <v>19920.20189</v>
      </c>
      <c r="C49" s="36">
        <f>SUM(C40:C48)</f>
        <v>19879.631389999999</v>
      </c>
      <c r="D49" s="36">
        <f>SUM(D40:D48)</f>
        <v>19879.631389999999</v>
      </c>
      <c r="E49" s="27">
        <f t="shared" si="5"/>
        <v>99.796334895479305</v>
      </c>
      <c r="F49" s="27">
        <f t="shared" si="6"/>
        <v>99.796334895479305</v>
      </c>
    </row>
    <row r="50" spans="1:6" ht="82.95" customHeight="1">
      <c r="A50" s="48" t="s">
        <v>34</v>
      </c>
      <c r="B50" s="48"/>
      <c r="C50" s="48"/>
      <c r="D50" s="48"/>
      <c r="E50" s="48"/>
      <c r="F50" s="48"/>
    </row>
    <row r="51" spans="1:6" ht="124.8">
      <c r="A51" s="32" t="s">
        <v>132</v>
      </c>
      <c r="B51" s="30">
        <f>150000/1000</f>
        <v>150</v>
      </c>
      <c r="C51" s="30">
        <f>149197/1000</f>
        <v>149.197</v>
      </c>
      <c r="D51" s="30">
        <f>149197/1000</f>
        <v>149.197</v>
      </c>
      <c r="E51" s="31">
        <f t="shared" si="5"/>
        <v>99.464666666666673</v>
      </c>
      <c r="F51" s="31">
        <f t="shared" si="6"/>
        <v>99.464666666666673</v>
      </c>
    </row>
    <row r="52" spans="1:6" ht="109.2">
      <c r="A52" s="32" t="s">
        <v>25</v>
      </c>
      <c r="B52" s="30">
        <f>6165990/1000</f>
        <v>6165.99</v>
      </c>
      <c r="C52" s="30">
        <f>6070978.65/1000</f>
        <v>6070.97865</v>
      </c>
      <c r="D52" s="30">
        <f>6070978.65/1000</f>
        <v>6070.97865</v>
      </c>
      <c r="E52" s="31">
        <f t="shared" si="5"/>
        <v>98.459106323558743</v>
      </c>
      <c r="F52" s="31">
        <f t="shared" si="6"/>
        <v>98.459106323558743</v>
      </c>
    </row>
    <row r="53" spans="1:6" ht="109.2">
      <c r="A53" s="29" t="s">
        <v>26</v>
      </c>
      <c r="B53" s="30">
        <f>37341111/1000</f>
        <v>37341.110999999997</v>
      </c>
      <c r="C53" s="30">
        <f>37298844.99/1000</f>
        <v>37298.844990000005</v>
      </c>
      <c r="D53" s="30">
        <f>37298844.99/1000</f>
        <v>37298.844990000005</v>
      </c>
      <c r="E53" s="31">
        <f t="shared" si="5"/>
        <v>99.886811053907863</v>
      </c>
      <c r="F53" s="31">
        <f t="shared" si="6"/>
        <v>99.886811053907863</v>
      </c>
    </row>
    <row r="54" spans="1:6" ht="156">
      <c r="A54" s="32" t="s">
        <v>154</v>
      </c>
      <c r="B54" s="30">
        <f>5357854/1000</f>
        <v>5357.8540000000003</v>
      </c>
      <c r="C54" s="30">
        <f>4925647.74/1000</f>
        <v>4925.6477400000003</v>
      </c>
      <c r="D54" s="30">
        <f>4925647.74/1000</f>
        <v>4925.6477400000003</v>
      </c>
      <c r="E54" s="31">
        <f t="shared" si="5"/>
        <v>91.933220651402593</v>
      </c>
      <c r="F54" s="31">
        <f t="shared" si="6"/>
        <v>91.933220651402593</v>
      </c>
    </row>
    <row r="55" spans="1:6" ht="93.6">
      <c r="A55" s="29" t="s">
        <v>155</v>
      </c>
      <c r="B55" s="30">
        <f>4636676.11/1000</f>
        <v>4636.6761100000003</v>
      </c>
      <c r="C55" s="30">
        <f>4636676.11/1000</f>
        <v>4636.6761100000003</v>
      </c>
      <c r="D55" s="30">
        <f>4636676.11/1000</f>
        <v>4636.6761100000003</v>
      </c>
      <c r="E55" s="31">
        <f t="shared" si="5"/>
        <v>100</v>
      </c>
      <c r="F55" s="31">
        <f t="shared" si="6"/>
        <v>100</v>
      </c>
    </row>
    <row r="56" spans="1:6" s="8" customFormat="1" ht="40.950000000000003" customHeight="1">
      <c r="A56" s="43" t="s">
        <v>156</v>
      </c>
      <c r="B56" s="26">
        <f>SUM(B51:B55)</f>
        <v>53651.631109999995</v>
      </c>
      <c r="C56" s="26">
        <f>SUM(C51:C55)</f>
        <v>53081.344490000003</v>
      </c>
      <c r="D56" s="26">
        <f>SUM(D51:D55)</f>
        <v>53081.344490000003</v>
      </c>
      <c r="E56" s="27">
        <f>D56*100/B56</f>
        <v>98.937056323915371</v>
      </c>
      <c r="F56" s="27">
        <f t="shared" si="6"/>
        <v>98.937056323915371</v>
      </c>
    </row>
    <row r="57" spans="1:6" ht="46.8">
      <c r="A57" s="28" t="s">
        <v>137</v>
      </c>
      <c r="B57" s="26">
        <f>B56+B49+B34+B23+B38</f>
        <v>1237349.9331699999</v>
      </c>
      <c r="C57" s="26">
        <f t="shared" ref="C57:D57" si="14">C56+C49+C34+C23+C38</f>
        <v>1227194.5148200002</v>
      </c>
      <c r="D57" s="26">
        <f t="shared" si="14"/>
        <v>1227194.5148200002</v>
      </c>
      <c r="E57" s="27">
        <f>D57*100/B57</f>
        <v>99.179260605447141</v>
      </c>
      <c r="F57" s="27">
        <f>C57*100/B57</f>
        <v>99.179260605447141</v>
      </c>
    </row>
    <row r="60" spans="1:6" s="45" customFormat="1" ht="21">
      <c r="A60" s="45" t="s">
        <v>162</v>
      </c>
      <c r="E60" s="45" t="s">
        <v>158</v>
      </c>
    </row>
    <row r="61" spans="1:6" s="45" customFormat="1" ht="21"/>
    <row r="62" spans="1:6" s="45" customFormat="1" ht="21">
      <c r="A62" s="45" t="s">
        <v>160</v>
      </c>
      <c r="E62" s="45" t="s">
        <v>159</v>
      </c>
    </row>
    <row r="64" spans="1:6" hidden="1"/>
    <row r="66" spans="1:1">
      <c r="A66" s="1" t="s">
        <v>161</v>
      </c>
    </row>
  </sheetData>
  <mergeCells count="8">
    <mergeCell ref="A50:F50"/>
    <mergeCell ref="A35:F35"/>
    <mergeCell ref="E1:F1"/>
    <mergeCell ref="D2:F2"/>
    <mergeCell ref="A4:F4"/>
    <mergeCell ref="A8:F8"/>
    <mergeCell ref="A24:F24"/>
    <mergeCell ref="A39:F39"/>
  </mergeCells>
  <pageMargins left="0.31496062992125984" right="0.19685039370078741" top="0.47244094488188981" bottom="0.17" header="0.15748031496062992" footer="0.17"/>
  <pageSetup paperSize="9"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69"/>
  <sheetViews>
    <sheetView showGridLines="0" view="pageBreakPreview" zoomScale="80" zoomScaleNormal="75" zoomScaleSheetLayoutView="80" workbookViewId="0">
      <pane ySplit="6" topLeftCell="A7" activePane="bottomLeft" state="frozen"/>
      <selection pane="bottomLeft" activeCell="A4" sqref="A4:F4"/>
    </sheetView>
  </sheetViews>
  <sheetFormatPr defaultColWidth="9.109375" defaultRowHeight="13.2"/>
  <cols>
    <col min="1" max="1" width="45.6640625" style="1" customWidth="1"/>
    <col min="2" max="2" width="15.88671875" style="1" customWidth="1"/>
    <col min="3" max="4" width="16.33203125" style="1" customWidth="1"/>
    <col min="5" max="5" width="15.44140625" style="1" customWidth="1"/>
    <col min="6" max="6" width="16.109375" style="1" customWidth="1"/>
    <col min="7" max="16384" width="9.109375" style="1"/>
  </cols>
  <sheetData>
    <row r="1" spans="1:6" ht="18">
      <c r="D1" s="39"/>
      <c r="E1" s="59" t="s">
        <v>51</v>
      </c>
      <c r="F1" s="60"/>
    </row>
    <row r="2" spans="1:6" s="19" customFormat="1" ht="62.4" customHeight="1">
      <c r="A2" s="18"/>
      <c r="B2" s="18"/>
      <c r="D2" s="61" t="s">
        <v>97</v>
      </c>
      <c r="E2" s="62"/>
      <c r="F2" s="62"/>
    </row>
    <row r="3" spans="1:6" s="19" customFormat="1" ht="15.6">
      <c r="A3" s="18"/>
      <c r="B3" s="18"/>
      <c r="D3" s="18"/>
    </row>
    <row r="4" spans="1:6" s="19" customFormat="1" ht="38.4" customHeight="1">
      <c r="A4" s="53" t="s">
        <v>136</v>
      </c>
      <c r="B4" s="53"/>
      <c r="C4" s="53"/>
      <c r="D4" s="53"/>
      <c r="E4" s="53"/>
      <c r="F4" s="53"/>
    </row>
    <row r="5" spans="1:6" ht="18" customHeight="1">
      <c r="A5" s="3"/>
      <c r="B5" s="3"/>
      <c r="C5" s="3"/>
      <c r="D5" s="3"/>
      <c r="E5" s="2"/>
      <c r="F5" s="22" t="s">
        <v>49</v>
      </c>
    </row>
    <row r="6" spans="1:6" s="4" customFormat="1" ht="62.4">
      <c r="A6" s="37" t="s">
        <v>30</v>
      </c>
      <c r="B6" s="37" t="s">
        <v>98</v>
      </c>
      <c r="C6" s="37" t="s">
        <v>99</v>
      </c>
      <c r="D6" s="37" t="s">
        <v>100</v>
      </c>
      <c r="E6" s="38" t="s">
        <v>31</v>
      </c>
      <c r="F6" s="38" t="s">
        <v>32</v>
      </c>
    </row>
    <row r="7" spans="1:6" s="4" customFormat="1">
      <c r="A7" s="40" t="s">
        <v>93</v>
      </c>
      <c r="B7" s="40" t="s">
        <v>94</v>
      </c>
      <c r="C7" s="40" t="s">
        <v>95</v>
      </c>
      <c r="D7" s="40" t="s">
        <v>96</v>
      </c>
      <c r="E7" s="41">
        <v>5</v>
      </c>
      <c r="F7" s="41">
        <v>6</v>
      </c>
    </row>
    <row r="8" spans="1:6" ht="49.2" customHeight="1">
      <c r="A8" s="54" t="s">
        <v>50</v>
      </c>
      <c r="B8" s="55"/>
      <c r="C8" s="55"/>
      <c r="D8" s="55"/>
      <c r="E8" s="55"/>
      <c r="F8" s="56"/>
    </row>
    <row r="9" spans="1:6" ht="93.6">
      <c r="A9" s="29" t="s">
        <v>101</v>
      </c>
      <c r="B9" s="30">
        <f>132658718.88/1000</f>
        <v>132658.71888</v>
      </c>
      <c r="C9" s="30">
        <f>132553268.36/1000</f>
        <v>132553.26835999999</v>
      </c>
      <c r="D9" s="30">
        <f>132501481.84/1000</f>
        <v>132501.48183999999</v>
      </c>
      <c r="E9" s="31">
        <f>D9*100/B9</f>
        <v>99.88147251735316</v>
      </c>
      <c r="F9" s="31">
        <f>C9*100/B9</f>
        <v>99.920509921330236</v>
      </c>
    </row>
    <row r="10" spans="1:6" ht="109.2">
      <c r="A10" s="32" t="s">
        <v>102</v>
      </c>
      <c r="B10" s="30">
        <f>1212175/1000</f>
        <v>1212.175</v>
      </c>
      <c r="C10" s="30">
        <f>1118903.42/1000</f>
        <v>1118.9034199999999</v>
      </c>
      <c r="D10" s="30">
        <f>1114154.42/1000</f>
        <v>1114.1544199999998</v>
      </c>
      <c r="E10" s="31">
        <f t="shared" ref="E10:E19" si="0">D10*100/B10</f>
        <v>91.913660981293944</v>
      </c>
      <c r="F10" s="31">
        <f t="shared" ref="F10:F19" si="1">C10*100/B10</f>
        <v>92.305436096273226</v>
      </c>
    </row>
    <row r="11" spans="1:6" ht="109.2">
      <c r="A11" s="29" t="s">
        <v>103</v>
      </c>
      <c r="B11" s="30">
        <f>70500/1000</f>
        <v>70.5</v>
      </c>
      <c r="C11" s="30">
        <f>70500/1000</f>
        <v>70.5</v>
      </c>
      <c r="D11" s="30">
        <f>70500/1000</f>
        <v>70.5</v>
      </c>
      <c r="E11" s="31">
        <f t="shared" si="0"/>
        <v>100</v>
      </c>
      <c r="F11" s="31">
        <f t="shared" si="1"/>
        <v>100</v>
      </c>
    </row>
    <row r="12" spans="1:6" ht="312">
      <c r="A12" s="32" t="s">
        <v>104</v>
      </c>
      <c r="B12" s="30">
        <f>87154900/1000</f>
        <v>87154.9</v>
      </c>
      <c r="C12" s="30">
        <f>87154900/1000</f>
        <v>87154.9</v>
      </c>
      <c r="D12" s="30">
        <f>87154086.56/1000</f>
        <v>87154.086559999996</v>
      </c>
      <c r="E12" s="31">
        <f t="shared" si="0"/>
        <v>99.999066673244997</v>
      </c>
      <c r="F12" s="31">
        <f t="shared" si="1"/>
        <v>100</v>
      </c>
    </row>
    <row r="13" spans="1:6" ht="218.4">
      <c r="A13" s="32" t="s">
        <v>105</v>
      </c>
      <c r="B13" s="30">
        <f>2122600/1000</f>
        <v>2122.6</v>
      </c>
      <c r="C13" s="30">
        <f>2122600/1000</f>
        <v>2122.6</v>
      </c>
      <c r="D13" s="30">
        <f>2073004.41/1000</f>
        <v>2073.00441</v>
      </c>
      <c r="E13" s="31">
        <f t="shared" si="0"/>
        <v>97.663450956374263</v>
      </c>
      <c r="F13" s="31">
        <f t="shared" si="1"/>
        <v>100</v>
      </c>
    </row>
    <row r="14" spans="1:6" ht="327.60000000000002">
      <c r="A14" s="32" t="s">
        <v>106</v>
      </c>
      <c r="B14" s="30">
        <f>228066700/1000</f>
        <v>228066.7</v>
      </c>
      <c r="C14" s="30">
        <f>228066700/1000</f>
        <v>228066.7</v>
      </c>
      <c r="D14" s="30">
        <f>228065606.03/1000</f>
        <v>228065.60603</v>
      </c>
      <c r="E14" s="31">
        <f t="shared" si="0"/>
        <v>99.999520328921321</v>
      </c>
      <c r="F14" s="31">
        <f t="shared" si="1"/>
        <v>100</v>
      </c>
    </row>
    <row r="15" spans="1:6" ht="140.4">
      <c r="A15" s="32" t="s">
        <v>107</v>
      </c>
      <c r="B15" s="30">
        <f>1029111.09/1000</f>
        <v>1029.1110899999999</v>
      </c>
      <c r="C15" s="30">
        <f>1029010.48/1000</f>
        <v>1029.0104799999999</v>
      </c>
      <c r="D15" s="30">
        <f>1029010.48/1000</f>
        <v>1029.0104799999999</v>
      </c>
      <c r="E15" s="31">
        <f t="shared" si="0"/>
        <v>99.990223601613323</v>
      </c>
      <c r="F15" s="31">
        <f t="shared" si="1"/>
        <v>99.990223601613323</v>
      </c>
    </row>
    <row r="16" spans="1:6" ht="140.4">
      <c r="A16" s="32" t="s">
        <v>108</v>
      </c>
      <c r="B16" s="30">
        <f>9299/1000</f>
        <v>9.2989999999999995</v>
      </c>
      <c r="C16" s="30">
        <f>9299/1000</f>
        <v>9.2989999999999995</v>
      </c>
      <c r="D16" s="30">
        <f>9299/1000</f>
        <v>9.2989999999999995</v>
      </c>
      <c r="E16" s="31">
        <f t="shared" si="0"/>
        <v>100</v>
      </c>
      <c r="F16" s="31">
        <f t="shared" si="1"/>
        <v>100</v>
      </c>
    </row>
    <row r="17" spans="1:6" ht="140.4">
      <c r="A17" s="32" t="s">
        <v>108</v>
      </c>
      <c r="B17" s="30">
        <f>929875/1000</f>
        <v>929.875</v>
      </c>
      <c r="C17" s="30">
        <f>929875/1000</f>
        <v>929.875</v>
      </c>
      <c r="D17" s="30">
        <f>929875/1000</f>
        <v>929.875</v>
      </c>
      <c r="E17" s="31">
        <f t="shared" si="0"/>
        <v>100</v>
      </c>
      <c r="F17" s="31">
        <f t="shared" si="1"/>
        <v>100</v>
      </c>
    </row>
    <row r="18" spans="1:6" ht="109.2">
      <c r="A18" s="29" t="s">
        <v>103</v>
      </c>
      <c r="B18" s="30">
        <f>1000/1000</f>
        <v>1</v>
      </c>
      <c r="C18" s="30">
        <f>1000/1000</f>
        <v>1</v>
      </c>
      <c r="D18" s="30">
        <f>1000/1000</f>
        <v>1</v>
      </c>
      <c r="E18" s="31">
        <f t="shared" si="0"/>
        <v>100</v>
      </c>
      <c r="F18" s="31">
        <f t="shared" si="1"/>
        <v>100</v>
      </c>
    </row>
    <row r="19" spans="1:6" ht="140.4">
      <c r="A19" s="42" t="s">
        <v>109</v>
      </c>
      <c r="B19" s="30">
        <f>10302400/1000</f>
        <v>10302.4</v>
      </c>
      <c r="C19" s="30">
        <f>10302399.79/1000</f>
        <v>10302.399789999999</v>
      </c>
      <c r="D19" s="30">
        <f>10302399.79/1000</f>
        <v>10302.399789999999</v>
      </c>
      <c r="E19" s="31">
        <f t="shared" si="0"/>
        <v>99.999997961640005</v>
      </c>
      <c r="F19" s="31">
        <f t="shared" si="1"/>
        <v>99.999997961640005</v>
      </c>
    </row>
    <row r="20" spans="1:6" s="8" customFormat="1" ht="38.4" customHeight="1">
      <c r="A20" s="33"/>
      <c r="B20" s="26">
        <f>SUM(B9:B19)</f>
        <v>463557.27897000004</v>
      </c>
      <c r="C20" s="26">
        <f t="shared" ref="C20:D20" si="2">SUM(C9:C19)</f>
        <v>463358.45604999998</v>
      </c>
      <c r="D20" s="26">
        <f t="shared" si="2"/>
        <v>463250.41752999998</v>
      </c>
      <c r="E20" s="26">
        <f>D20*100/B20</f>
        <v>99.933802907661828</v>
      </c>
      <c r="F20" s="26">
        <f>C20*100/B20</f>
        <v>99.957109309028255</v>
      </c>
    </row>
    <row r="21" spans="1:6" ht="69.599999999999994" customHeight="1">
      <c r="A21" s="57" t="s">
        <v>35</v>
      </c>
      <c r="B21" s="57"/>
      <c r="C21" s="57"/>
      <c r="D21" s="57"/>
      <c r="E21" s="57"/>
      <c r="F21" s="57"/>
    </row>
    <row r="22" spans="1:6" ht="93.6">
      <c r="A22" s="29" t="s">
        <v>101</v>
      </c>
      <c r="B22" s="30">
        <f>117756535/1000</f>
        <v>117756.535</v>
      </c>
      <c r="C22" s="30">
        <f>117756535/1000</f>
        <v>117756.535</v>
      </c>
      <c r="D22" s="30">
        <f>117756535/1000</f>
        <v>117756.535</v>
      </c>
      <c r="E22" s="31">
        <f t="shared" ref="E22:E65" si="3">D22*100/B22</f>
        <v>100</v>
      </c>
      <c r="F22" s="31">
        <f t="shared" ref="F22:F68" si="4">C22*100/B22</f>
        <v>100</v>
      </c>
    </row>
    <row r="23" spans="1:6" ht="109.2">
      <c r="A23" s="29" t="s">
        <v>103</v>
      </c>
      <c r="B23" s="30">
        <f>110140/1000</f>
        <v>110.14</v>
      </c>
      <c r="C23" s="30">
        <f>105280/1000</f>
        <v>105.28</v>
      </c>
      <c r="D23" s="30">
        <f>105280/1000</f>
        <v>105.28</v>
      </c>
      <c r="E23" s="31">
        <f t="shared" si="3"/>
        <v>95.587434174686763</v>
      </c>
      <c r="F23" s="31">
        <f t="shared" si="4"/>
        <v>95.587434174686763</v>
      </c>
    </row>
    <row r="24" spans="1:6" ht="327.60000000000002">
      <c r="A24" s="32" t="s">
        <v>121</v>
      </c>
      <c r="B24" s="30">
        <f>52370400/1000</f>
        <v>52370.400000000001</v>
      </c>
      <c r="C24" s="30">
        <f>52370400/1000</f>
        <v>52370.400000000001</v>
      </c>
      <c r="D24" s="30">
        <f>52370400/1000</f>
        <v>52370.400000000001</v>
      </c>
      <c r="E24" s="31">
        <f t="shared" si="3"/>
        <v>100</v>
      </c>
      <c r="F24" s="31">
        <f t="shared" si="4"/>
        <v>100</v>
      </c>
    </row>
    <row r="25" spans="1:6" ht="93.6">
      <c r="A25" s="29" t="s">
        <v>122</v>
      </c>
      <c r="B25" s="30">
        <f>3468800/1000</f>
        <v>3468.8</v>
      </c>
      <c r="C25" s="30">
        <f>3468794.04/1000</f>
        <v>3468.7940400000002</v>
      </c>
      <c r="D25" s="30">
        <f>3468794.04/1000</f>
        <v>3468.7940400000002</v>
      </c>
      <c r="E25" s="31">
        <f t="shared" si="3"/>
        <v>99.999828182656827</v>
      </c>
      <c r="F25" s="31">
        <f t="shared" si="4"/>
        <v>99.999828182656827</v>
      </c>
    </row>
    <row r="26" spans="1:6" ht="343.2">
      <c r="A26" s="32" t="s">
        <v>123</v>
      </c>
      <c r="B26" s="30">
        <f>366212684/1000</f>
        <v>366212.68400000001</v>
      </c>
      <c r="C26" s="30">
        <f>366212684/1000</f>
        <v>366212.68400000001</v>
      </c>
      <c r="D26" s="30">
        <f>366212684/1000</f>
        <v>366212.68400000001</v>
      </c>
      <c r="E26" s="31">
        <f t="shared" si="3"/>
        <v>100</v>
      </c>
      <c r="F26" s="31">
        <f t="shared" si="4"/>
        <v>100</v>
      </c>
    </row>
    <row r="27" spans="1:6" ht="140.4">
      <c r="A27" s="32" t="s">
        <v>124</v>
      </c>
      <c r="B27" s="30">
        <f>6608700/1000</f>
        <v>6608.7</v>
      </c>
      <c r="C27" s="30">
        <f>5105208.4/1000</f>
        <v>5105.2084000000004</v>
      </c>
      <c r="D27" s="30">
        <f>5105208.4/1000</f>
        <v>5105.2084000000004</v>
      </c>
      <c r="E27" s="31">
        <f t="shared" si="3"/>
        <v>77.249813125122955</v>
      </c>
      <c r="F27" s="31">
        <f t="shared" si="4"/>
        <v>77.249813125122955</v>
      </c>
    </row>
    <row r="28" spans="1:6" ht="140.4">
      <c r="A28" s="32" t="s">
        <v>125</v>
      </c>
      <c r="B28" s="30">
        <f>2909301.21/1000</f>
        <v>2909.3012100000001</v>
      </c>
      <c r="C28" s="30">
        <f>2909301.21/1000</f>
        <v>2909.3012100000001</v>
      </c>
      <c r="D28" s="30">
        <f>2909301.21/1000</f>
        <v>2909.3012100000001</v>
      </c>
      <c r="E28" s="31">
        <f t="shared" si="3"/>
        <v>99.999999999999986</v>
      </c>
      <c r="F28" s="31">
        <f t="shared" si="4"/>
        <v>99.999999999999986</v>
      </c>
    </row>
    <row r="29" spans="1:6" ht="234">
      <c r="A29" s="32" t="s">
        <v>126</v>
      </c>
      <c r="B29" s="30">
        <f>249019.8/1000</f>
        <v>249.01979999999998</v>
      </c>
      <c r="C29" s="30">
        <f>249019.8/1000</f>
        <v>249.01979999999998</v>
      </c>
      <c r="D29" s="30">
        <f>249019.8/1000</f>
        <v>249.01979999999998</v>
      </c>
      <c r="E29" s="31">
        <f t="shared" si="3"/>
        <v>100</v>
      </c>
      <c r="F29" s="31">
        <f t="shared" si="4"/>
        <v>100</v>
      </c>
    </row>
    <row r="30" spans="1:6" ht="109.2">
      <c r="A30" s="29" t="s">
        <v>103</v>
      </c>
      <c r="B30" s="30">
        <f>4374/1000</f>
        <v>4.3739999999999997</v>
      </c>
      <c r="C30" s="30">
        <f>4374/1000</f>
        <v>4.3739999999999997</v>
      </c>
      <c r="D30" s="30">
        <f>4374/1000</f>
        <v>4.3739999999999997</v>
      </c>
      <c r="E30" s="31">
        <f t="shared" si="3"/>
        <v>100</v>
      </c>
      <c r="F30" s="31">
        <f t="shared" si="4"/>
        <v>100</v>
      </c>
    </row>
    <row r="31" spans="1:6" ht="93.6">
      <c r="A31" s="29" t="s">
        <v>122</v>
      </c>
      <c r="B31" s="30">
        <f>34688/1000</f>
        <v>34.688000000000002</v>
      </c>
      <c r="C31" s="30">
        <f>34688/1000</f>
        <v>34.688000000000002</v>
      </c>
      <c r="D31" s="30">
        <f>34688/1000</f>
        <v>34.688000000000002</v>
      </c>
      <c r="E31" s="31">
        <f t="shared" si="3"/>
        <v>100</v>
      </c>
      <c r="F31" s="31">
        <f t="shared" si="4"/>
        <v>100</v>
      </c>
    </row>
    <row r="32" spans="1:6" ht="140.4">
      <c r="A32" s="32" t="s">
        <v>124</v>
      </c>
      <c r="B32" s="30">
        <f>561587.7/1000</f>
        <v>561.58769999999993</v>
      </c>
      <c r="C32" s="30">
        <f>561572.93/1000</f>
        <v>561.57293000000004</v>
      </c>
      <c r="D32" s="30">
        <f>561572.93/1000</f>
        <v>561.57293000000004</v>
      </c>
      <c r="E32" s="31">
        <f t="shared" si="3"/>
        <v>99.997369956642586</v>
      </c>
      <c r="F32" s="31">
        <f t="shared" si="4"/>
        <v>99.997369956642586</v>
      </c>
    </row>
    <row r="33" spans="1:6" ht="93.6">
      <c r="A33" s="29" t="s">
        <v>101</v>
      </c>
      <c r="B33" s="30">
        <f>34298022.5/1000</f>
        <v>34298.022499999999</v>
      </c>
      <c r="C33" s="30">
        <f>34298022.5/1000</f>
        <v>34298.022499999999</v>
      </c>
      <c r="D33" s="30">
        <f>34298022.5/1000</f>
        <v>34298.022499999999</v>
      </c>
      <c r="E33" s="31">
        <f t="shared" si="3"/>
        <v>100</v>
      </c>
      <c r="F33" s="31">
        <f t="shared" si="4"/>
        <v>100</v>
      </c>
    </row>
    <row r="34" spans="1:6" ht="156">
      <c r="A34" s="32" t="s">
        <v>127</v>
      </c>
      <c r="B34" s="30">
        <f>59380/1000</f>
        <v>59.38</v>
      </c>
      <c r="C34" s="30">
        <f>59380/1000</f>
        <v>59.38</v>
      </c>
      <c r="D34" s="30">
        <f>59380/1000</f>
        <v>59.38</v>
      </c>
      <c r="E34" s="31">
        <f t="shared" si="3"/>
        <v>100</v>
      </c>
      <c r="F34" s="31">
        <f t="shared" si="4"/>
        <v>100</v>
      </c>
    </row>
    <row r="35" spans="1:6" ht="109.2">
      <c r="A35" s="29" t="s">
        <v>128</v>
      </c>
      <c r="B35" s="30">
        <f>200000/1000</f>
        <v>200</v>
      </c>
      <c r="C35" s="30">
        <f>200000/1000</f>
        <v>200</v>
      </c>
      <c r="D35" s="30">
        <f>200000/1000</f>
        <v>200</v>
      </c>
      <c r="E35" s="31">
        <f t="shared" si="3"/>
        <v>100</v>
      </c>
      <c r="F35" s="31">
        <f t="shared" si="4"/>
        <v>100</v>
      </c>
    </row>
    <row r="36" spans="1:6" ht="140.4">
      <c r="A36" s="32" t="s">
        <v>129</v>
      </c>
      <c r="B36" s="30">
        <f>10000/1000</f>
        <v>10</v>
      </c>
      <c r="C36" s="30">
        <f>10000/1000</f>
        <v>10</v>
      </c>
      <c r="D36" s="30">
        <f>10000/1000</f>
        <v>10</v>
      </c>
      <c r="E36" s="31">
        <f t="shared" si="3"/>
        <v>100</v>
      </c>
      <c r="F36" s="31">
        <f t="shared" si="4"/>
        <v>100</v>
      </c>
    </row>
    <row r="37" spans="1:6" s="8" customFormat="1" ht="156">
      <c r="A37" s="32" t="s">
        <v>130</v>
      </c>
      <c r="B37" s="30">
        <f>29089300/1000</f>
        <v>29089.3</v>
      </c>
      <c r="C37" s="30">
        <f>28689254/1000</f>
        <v>28689.254000000001</v>
      </c>
      <c r="D37" s="30">
        <f>28385192.78/1000</f>
        <v>28385.192780000001</v>
      </c>
      <c r="E37" s="31">
        <f t="shared" ref="E37" si="5">D37*100/B37</f>
        <v>97.579497547208078</v>
      </c>
      <c r="F37" s="31">
        <f t="shared" ref="F37" si="6">C37*100/B37</f>
        <v>98.624765807358713</v>
      </c>
    </row>
    <row r="38" spans="1:6" s="8" customFormat="1" ht="27.6" customHeight="1">
      <c r="A38" s="33"/>
      <c r="B38" s="26">
        <f>SUM(B22:B37)</f>
        <v>613942.93220999988</v>
      </c>
      <c r="C38" s="26">
        <f t="shared" ref="C38:D38" si="7">SUM(C22:C37)</f>
        <v>612034.51387999987</v>
      </c>
      <c r="D38" s="26">
        <f t="shared" si="7"/>
        <v>611730.45265999995</v>
      </c>
      <c r="E38" s="27">
        <f t="shared" ref="E38" si="8">D38*100/B38</f>
        <v>99.639627816540582</v>
      </c>
      <c r="F38" s="27">
        <f t="shared" ref="F38" si="9">C38*100/B38</f>
        <v>99.689153791032282</v>
      </c>
    </row>
    <row r="39" spans="1:6" ht="45.6" customHeight="1">
      <c r="A39" s="47" t="s">
        <v>33</v>
      </c>
      <c r="B39" s="47"/>
      <c r="C39" s="47"/>
      <c r="D39" s="47"/>
      <c r="E39" s="47"/>
      <c r="F39" s="47"/>
    </row>
    <row r="40" spans="1:6" ht="109.2">
      <c r="A40" s="32" t="s">
        <v>110</v>
      </c>
      <c r="B40" s="30">
        <f>3772000/1000</f>
        <v>3772</v>
      </c>
      <c r="C40" s="30">
        <f>3771721.1/1000</f>
        <v>3771.7211000000002</v>
      </c>
      <c r="D40" s="30">
        <f>3771721.1/1000</f>
        <v>3771.7211000000002</v>
      </c>
      <c r="E40" s="31">
        <f t="shared" si="3"/>
        <v>99.992606044538718</v>
      </c>
      <c r="F40" s="31">
        <f t="shared" si="4"/>
        <v>99.992606044538718</v>
      </c>
    </row>
    <row r="41" spans="1:6" ht="171.6">
      <c r="A41" s="32" t="s">
        <v>111</v>
      </c>
      <c r="B41" s="30">
        <f>128400/1000</f>
        <v>128.4</v>
      </c>
      <c r="C41" s="30">
        <f>128400/1000</f>
        <v>128.4</v>
      </c>
      <c r="D41" s="30">
        <f>128400/1000</f>
        <v>128.4</v>
      </c>
      <c r="E41" s="31">
        <f t="shared" si="3"/>
        <v>100</v>
      </c>
      <c r="F41" s="31">
        <f t="shared" si="4"/>
        <v>100</v>
      </c>
    </row>
    <row r="42" spans="1:6" ht="187.2">
      <c r="A42" s="32" t="s">
        <v>112</v>
      </c>
      <c r="B42" s="30">
        <f>4338100/1000</f>
        <v>4338.1000000000004</v>
      </c>
      <c r="C42" s="30">
        <f>4337990.46/1000</f>
        <v>4337.99046</v>
      </c>
      <c r="D42" s="30">
        <f>4337990.46/1000</f>
        <v>4337.99046</v>
      </c>
      <c r="E42" s="31">
        <f t="shared" si="3"/>
        <v>99.997474931421579</v>
      </c>
      <c r="F42" s="31">
        <f t="shared" si="4"/>
        <v>99.997474931421579</v>
      </c>
    </row>
    <row r="43" spans="1:6" ht="265.2">
      <c r="A43" s="32" t="s">
        <v>113</v>
      </c>
      <c r="B43" s="30">
        <f>595000/1000</f>
        <v>595</v>
      </c>
      <c r="C43" s="30">
        <f>508847.25/1000</f>
        <v>508.84724999999997</v>
      </c>
      <c r="D43" s="30">
        <f>508847.25/1000</f>
        <v>508.84724999999997</v>
      </c>
      <c r="E43" s="31">
        <f t="shared" si="3"/>
        <v>85.520546218487397</v>
      </c>
      <c r="F43" s="31">
        <f t="shared" si="4"/>
        <v>85.520546218487397</v>
      </c>
    </row>
    <row r="44" spans="1:6" ht="93.6">
      <c r="A44" s="29" t="s">
        <v>114</v>
      </c>
      <c r="B44" s="30">
        <f>1574840/1000</f>
        <v>1574.84</v>
      </c>
      <c r="C44" s="30">
        <f>784787.87/1000</f>
        <v>784.78787</v>
      </c>
      <c r="D44" s="30">
        <f>784787.87/1000</f>
        <v>784.78787</v>
      </c>
      <c r="E44" s="31">
        <f t="shared" si="3"/>
        <v>49.832863655990451</v>
      </c>
      <c r="F44" s="31">
        <f t="shared" si="4"/>
        <v>49.832863655990451</v>
      </c>
    </row>
    <row r="45" spans="1:6" ht="109.2">
      <c r="A45" s="32" t="s">
        <v>115</v>
      </c>
      <c r="B45" s="30">
        <f>2708700/1000</f>
        <v>2708.7</v>
      </c>
      <c r="C45" s="30">
        <f>2694335.87/1000</f>
        <v>2694.3358699999999</v>
      </c>
      <c r="D45" s="30">
        <f>2694335.87/1000</f>
        <v>2694.3358699999999</v>
      </c>
      <c r="E45" s="31">
        <f t="shared" si="3"/>
        <v>99.469703917008161</v>
      </c>
      <c r="F45" s="31">
        <f t="shared" si="4"/>
        <v>99.469703917008161</v>
      </c>
    </row>
    <row r="46" spans="1:6" ht="93.6">
      <c r="A46" s="29" t="s">
        <v>116</v>
      </c>
      <c r="B46" s="30">
        <f>1008200/1000</f>
        <v>1008.2</v>
      </c>
      <c r="C46" s="30">
        <f>1008199.61/1000</f>
        <v>1008.19961</v>
      </c>
      <c r="D46" s="30">
        <f>1008199.61/1000</f>
        <v>1008.19961</v>
      </c>
      <c r="E46" s="31">
        <f t="shared" si="3"/>
        <v>99.999961317198967</v>
      </c>
      <c r="F46" s="31">
        <f t="shared" si="4"/>
        <v>99.999961317198967</v>
      </c>
    </row>
    <row r="47" spans="1:6" ht="109.2">
      <c r="A47" s="29" t="s">
        <v>117</v>
      </c>
      <c r="B47" s="30">
        <f>486907.86/1000</f>
        <v>486.90785999999997</v>
      </c>
      <c r="C47" s="30">
        <f>486907.86/1000</f>
        <v>486.90785999999997</v>
      </c>
      <c r="D47" s="30">
        <f>486907.86/1000</f>
        <v>486.90785999999997</v>
      </c>
      <c r="E47" s="31">
        <f t="shared" si="3"/>
        <v>100</v>
      </c>
      <c r="F47" s="31">
        <f t="shared" si="4"/>
        <v>100</v>
      </c>
    </row>
    <row r="48" spans="1:6" ht="78">
      <c r="A48" s="29" t="s">
        <v>118</v>
      </c>
      <c r="B48" s="30">
        <f>489980.4/1000</f>
        <v>489.98040000000003</v>
      </c>
      <c r="C48" s="30">
        <f>489980.4/1000</f>
        <v>489.98040000000003</v>
      </c>
      <c r="D48" s="30">
        <f>489980.4/1000</f>
        <v>489.98040000000003</v>
      </c>
      <c r="E48" s="31">
        <f t="shared" si="3"/>
        <v>100</v>
      </c>
      <c r="F48" s="31">
        <f t="shared" si="4"/>
        <v>100</v>
      </c>
    </row>
    <row r="49" spans="1:6" ht="109.2">
      <c r="A49" s="29" t="s">
        <v>119</v>
      </c>
      <c r="B49" s="30">
        <f>3106736.77/1000</f>
        <v>3106.73677</v>
      </c>
      <c r="C49" s="30">
        <f>3106736.77/1000</f>
        <v>3106.73677</v>
      </c>
      <c r="D49" s="30">
        <f>3106736.77/1000</f>
        <v>3106.73677</v>
      </c>
      <c r="E49" s="31">
        <f t="shared" si="3"/>
        <v>100.00000000000001</v>
      </c>
      <c r="F49" s="31">
        <f t="shared" si="4"/>
        <v>100.00000000000001</v>
      </c>
    </row>
    <row r="50" spans="1:6" ht="93.6">
      <c r="A50" s="29" t="s">
        <v>120</v>
      </c>
      <c r="B50" s="30">
        <f>1143287.6/1000</f>
        <v>1143.2876000000001</v>
      </c>
      <c r="C50" s="30">
        <f>1143287.6/1000</f>
        <v>1143.2876000000001</v>
      </c>
      <c r="D50" s="30">
        <f>1143287.6/1000</f>
        <v>1143.2876000000001</v>
      </c>
      <c r="E50" s="31">
        <f t="shared" si="3"/>
        <v>100</v>
      </c>
      <c r="F50" s="31">
        <f t="shared" si="4"/>
        <v>100</v>
      </c>
    </row>
    <row r="51" spans="1:6" ht="109.2">
      <c r="A51" s="32" t="s">
        <v>110</v>
      </c>
      <c r="B51" s="30">
        <f>1616348/1000</f>
        <v>1616.348</v>
      </c>
      <c r="C51" s="30">
        <f>1616348/1000</f>
        <v>1616.348</v>
      </c>
      <c r="D51" s="30">
        <f>1616348/1000</f>
        <v>1616.348</v>
      </c>
      <c r="E51" s="31">
        <f t="shared" ref="E51:E55" si="10">D51*100/B51</f>
        <v>100</v>
      </c>
      <c r="F51" s="31">
        <f t="shared" ref="F51:F55" si="11">C51*100/B51</f>
        <v>100</v>
      </c>
    </row>
    <row r="52" spans="1:6" ht="171.6">
      <c r="A52" s="32" t="s">
        <v>111</v>
      </c>
      <c r="B52" s="30">
        <f>71592/1000</f>
        <v>71.591999999999999</v>
      </c>
      <c r="C52" s="30">
        <f>71592/1000</f>
        <v>71.591999999999999</v>
      </c>
      <c r="D52" s="30">
        <f>71592/1000</f>
        <v>71.591999999999999</v>
      </c>
      <c r="E52" s="31">
        <f t="shared" si="10"/>
        <v>100</v>
      </c>
      <c r="F52" s="31">
        <f t="shared" si="11"/>
        <v>100</v>
      </c>
    </row>
    <row r="53" spans="1:6" ht="187.2">
      <c r="A53" s="32" t="s">
        <v>112</v>
      </c>
      <c r="B53" s="30">
        <f>1861652/1000</f>
        <v>1861.652</v>
      </c>
      <c r="C53" s="30">
        <f>1861652/1000</f>
        <v>1861.652</v>
      </c>
      <c r="D53" s="30">
        <f>1861652/1000</f>
        <v>1861.652</v>
      </c>
      <c r="E53" s="31">
        <f t="shared" si="10"/>
        <v>100</v>
      </c>
      <c r="F53" s="31">
        <f t="shared" si="11"/>
        <v>100</v>
      </c>
    </row>
    <row r="54" spans="1:6" ht="265.2">
      <c r="A54" s="32" t="s">
        <v>113</v>
      </c>
      <c r="B54" s="30">
        <f>595/1000</f>
        <v>0.59499999999999997</v>
      </c>
      <c r="C54" s="30">
        <f>595/1000</f>
        <v>0.59499999999999997</v>
      </c>
      <c r="D54" s="30">
        <f>595/1000</f>
        <v>0.59499999999999997</v>
      </c>
      <c r="E54" s="31">
        <f t="shared" si="10"/>
        <v>100</v>
      </c>
      <c r="F54" s="31">
        <f t="shared" si="11"/>
        <v>100</v>
      </c>
    </row>
    <row r="55" spans="1:6" ht="93.6">
      <c r="A55" s="29" t="s">
        <v>114</v>
      </c>
      <c r="B55" s="30">
        <f>15749/1000</f>
        <v>15.749000000000001</v>
      </c>
      <c r="C55" s="30">
        <f>12012.23/1000</f>
        <v>12.012229999999999</v>
      </c>
      <c r="D55" s="30">
        <f>12012.23/1000</f>
        <v>12.012229999999999</v>
      </c>
      <c r="E55" s="31">
        <f t="shared" si="10"/>
        <v>76.272969712362681</v>
      </c>
      <c r="F55" s="31">
        <f t="shared" si="11"/>
        <v>76.272969712362681</v>
      </c>
    </row>
    <row r="56" spans="1:6" ht="109.2">
      <c r="A56" s="32" t="s">
        <v>115</v>
      </c>
      <c r="B56" s="30">
        <f>27087/1000</f>
        <v>27.087</v>
      </c>
      <c r="C56" s="30">
        <f>26943.36/1000</f>
        <v>26.943360000000002</v>
      </c>
      <c r="D56" s="30">
        <f>26943.36/1000</f>
        <v>26.943360000000002</v>
      </c>
      <c r="E56" s="31">
        <f t="shared" ref="E56" si="12">D56*100/B56</f>
        <v>99.469708716358411</v>
      </c>
      <c r="F56" s="31">
        <f t="shared" ref="F56" si="13">C56*100/B56</f>
        <v>99.469708716358411</v>
      </c>
    </row>
    <row r="57" spans="1:6" s="8" customFormat="1" ht="38.4" customHeight="1">
      <c r="A57" s="33"/>
      <c r="B57" s="36">
        <f>SUM(B40:B56)</f>
        <v>22945.175630000002</v>
      </c>
      <c r="C57" s="36">
        <f t="shared" ref="C57:D57" si="14">SUM(C40:C56)</f>
        <v>22050.337380000001</v>
      </c>
      <c r="D57" s="36">
        <f t="shared" si="14"/>
        <v>22050.337380000001</v>
      </c>
      <c r="E57" s="27">
        <f t="shared" si="3"/>
        <v>96.100102851991096</v>
      </c>
      <c r="F57" s="27">
        <f t="shared" si="4"/>
        <v>96.100102851991096</v>
      </c>
    </row>
    <row r="58" spans="1:6" ht="82.95" customHeight="1">
      <c r="A58" s="48" t="s">
        <v>34</v>
      </c>
      <c r="B58" s="48"/>
      <c r="C58" s="48"/>
      <c r="D58" s="48"/>
      <c r="E58" s="48"/>
      <c r="F58" s="48"/>
    </row>
    <row r="59" spans="1:6" ht="93.6">
      <c r="A59" s="29" t="s">
        <v>101</v>
      </c>
      <c r="B59" s="30">
        <f>3712462/1000</f>
        <v>3712.462</v>
      </c>
      <c r="C59" s="30">
        <f>3711931.06/1000</f>
        <v>3711.9310599999999</v>
      </c>
      <c r="D59" s="30">
        <f>3710202.08/1000</f>
        <v>3710.20208</v>
      </c>
      <c r="E59" s="31">
        <f t="shared" si="3"/>
        <v>99.939126110920455</v>
      </c>
      <c r="F59" s="31">
        <f t="shared" si="4"/>
        <v>99.98569843947223</v>
      </c>
    </row>
    <row r="60" spans="1:6" ht="124.8">
      <c r="A60" s="32" t="s">
        <v>131</v>
      </c>
      <c r="B60" s="30">
        <f>489000/1000</f>
        <v>489</v>
      </c>
      <c r="C60" s="30">
        <f>489000/1000</f>
        <v>489</v>
      </c>
      <c r="D60" s="30">
        <f>489000/1000</f>
        <v>489</v>
      </c>
      <c r="E60" s="31">
        <f t="shared" si="3"/>
        <v>100</v>
      </c>
      <c r="F60" s="31">
        <f t="shared" si="4"/>
        <v>100</v>
      </c>
    </row>
    <row r="61" spans="1:6" ht="124.8">
      <c r="A61" s="32" t="s">
        <v>132</v>
      </c>
      <c r="B61" s="30">
        <f>149197/1000</f>
        <v>149.197</v>
      </c>
      <c r="C61" s="30">
        <f>149197/1000</f>
        <v>149.197</v>
      </c>
      <c r="D61" s="30">
        <f>149197/1000</f>
        <v>149.197</v>
      </c>
      <c r="E61" s="31">
        <f t="shared" si="3"/>
        <v>100</v>
      </c>
      <c r="F61" s="31">
        <f t="shared" si="4"/>
        <v>100</v>
      </c>
    </row>
    <row r="62" spans="1:6" ht="93.6">
      <c r="A62" s="29" t="s">
        <v>133</v>
      </c>
      <c r="B62" s="30">
        <f>156737/1000</f>
        <v>156.73699999999999</v>
      </c>
      <c r="C62" s="30">
        <f>156737/1000</f>
        <v>156.73699999999999</v>
      </c>
      <c r="D62" s="30">
        <f>156737/1000</f>
        <v>156.73699999999999</v>
      </c>
      <c r="E62" s="31">
        <f t="shared" si="3"/>
        <v>100</v>
      </c>
      <c r="F62" s="31">
        <f t="shared" si="4"/>
        <v>100</v>
      </c>
    </row>
    <row r="63" spans="1:6" ht="124.8">
      <c r="A63" s="32" t="s">
        <v>131</v>
      </c>
      <c r="B63" s="30">
        <f>54334/1000</f>
        <v>54.334000000000003</v>
      </c>
      <c r="C63" s="30">
        <f>54334/1000</f>
        <v>54.334000000000003</v>
      </c>
      <c r="D63" s="30">
        <f>54334/1000</f>
        <v>54.334000000000003</v>
      </c>
      <c r="E63" s="31">
        <f t="shared" si="3"/>
        <v>100</v>
      </c>
      <c r="F63" s="31">
        <f t="shared" si="4"/>
        <v>100</v>
      </c>
    </row>
    <row r="64" spans="1:6" ht="109.2">
      <c r="A64" s="32" t="s">
        <v>25</v>
      </c>
      <c r="B64" s="30">
        <f>5511947.59/1000</f>
        <v>5511.9475899999998</v>
      </c>
      <c r="C64" s="30">
        <f>5462810.1/1000</f>
        <v>5462.8100999999997</v>
      </c>
      <c r="D64" s="30">
        <f>5461235.15/1000</f>
        <v>5461.2351500000004</v>
      </c>
      <c r="E64" s="31">
        <f t="shared" si="3"/>
        <v>99.079954241727478</v>
      </c>
      <c r="F64" s="31">
        <f t="shared" si="4"/>
        <v>99.108527626620642</v>
      </c>
    </row>
    <row r="65" spans="1:6" ht="109.2">
      <c r="A65" s="29" t="s">
        <v>26</v>
      </c>
      <c r="B65" s="30">
        <f>35867350.81/1000</f>
        <v>35867.350810000004</v>
      </c>
      <c r="C65" s="30">
        <f>35842317.25/1000</f>
        <v>35842.31725</v>
      </c>
      <c r="D65" s="30">
        <f>35837752.6/1000</f>
        <v>35837.7526</v>
      </c>
      <c r="E65" s="31">
        <f t="shared" si="3"/>
        <v>99.917478683728845</v>
      </c>
      <c r="F65" s="31">
        <f t="shared" si="4"/>
        <v>99.930205160306897</v>
      </c>
    </row>
    <row r="66" spans="1:6" ht="140.4">
      <c r="A66" s="32" t="s">
        <v>27</v>
      </c>
      <c r="B66" s="30">
        <f>3238700/1000</f>
        <v>3238.7</v>
      </c>
      <c r="C66" s="30">
        <f>3238700/1000</f>
        <v>3238.7</v>
      </c>
      <c r="D66" s="30">
        <f>3238373.99/1000</f>
        <v>3238.37399</v>
      </c>
      <c r="E66" s="31">
        <f t="shared" ref="E66:E67" si="15">D66*100/B66</f>
        <v>99.989933924105344</v>
      </c>
      <c r="F66" s="31">
        <f t="shared" ref="F66:F67" si="16">C66*100/B66</f>
        <v>100</v>
      </c>
    </row>
    <row r="67" spans="1:6" ht="156">
      <c r="A67" s="32" t="s">
        <v>134</v>
      </c>
      <c r="B67" s="30">
        <f>10521.9/1000</f>
        <v>10.5219</v>
      </c>
      <c r="C67" s="30">
        <f>10521.9/1000</f>
        <v>10.5219</v>
      </c>
      <c r="D67" s="30">
        <f>10521.9/1000</f>
        <v>10.5219</v>
      </c>
      <c r="E67" s="31">
        <f t="shared" si="15"/>
        <v>100</v>
      </c>
      <c r="F67" s="31">
        <f t="shared" si="16"/>
        <v>100</v>
      </c>
    </row>
    <row r="68" spans="1:6" s="8" customFormat="1" ht="15.6">
      <c r="A68" s="33"/>
      <c r="B68" s="26">
        <f>SUM(B59:B67)</f>
        <v>49190.2503</v>
      </c>
      <c r="C68" s="26">
        <f t="shared" ref="C68:D68" si="17">SUM(C59:C67)</f>
        <v>49115.548309999998</v>
      </c>
      <c r="D68" s="26">
        <f t="shared" si="17"/>
        <v>49107.353719999999</v>
      </c>
      <c r="E68" s="27">
        <f>D68*100/B68</f>
        <v>99.831477621084588</v>
      </c>
      <c r="F68" s="27">
        <f t="shared" si="4"/>
        <v>99.848136593035392</v>
      </c>
    </row>
    <row r="69" spans="1:6" ht="46.8">
      <c r="A69" s="28" t="s">
        <v>135</v>
      </c>
      <c r="B69" s="26">
        <f>B68+B57+B38+B20</f>
        <v>1149635.63711</v>
      </c>
      <c r="C69" s="26">
        <f t="shared" ref="C69:D69" si="18">C68+C57+C38+C20</f>
        <v>1146558.8556199998</v>
      </c>
      <c r="D69" s="26">
        <f t="shared" si="18"/>
        <v>1146138.5612899999</v>
      </c>
      <c r="E69" s="27">
        <f>D69*100/B69</f>
        <v>99.69581007172053</v>
      </c>
      <c r="F69" s="27">
        <f>C69*100/B69</f>
        <v>99.73236898799216</v>
      </c>
    </row>
  </sheetData>
  <mergeCells count="7">
    <mergeCell ref="A58:F58"/>
    <mergeCell ref="E1:F1"/>
    <mergeCell ref="D2:F2"/>
    <mergeCell ref="A4:F4"/>
    <mergeCell ref="A8:F8"/>
    <mergeCell ref="A21:F21"/>
    <mergeCell ref="A39:F39"/>
  </mergeCells>
  <pageMargins left="0.31496062992125984" right="0.19685039370078741" top="0.47244094488188981" bottom="0.17" header="0.15748031496062992" footer="0.17"/>
  <pageSetup paperSize="9" scale="7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63"/>
  <sheetViews>
    <sheetView showGridLines="0" view="pageBreakPreview" zoomScale="75" zoomScaleNormal="75" zoomScaleSheetLayoutView="75" workbookViewId="0">
      <pane ySplit="6" topLeftCell="A7" activePane="bottomLeft" state="frozen"/>
      <selection pane="bottomLeft" activeCell="A10" sqref="A10"/>
    </sheetView>
  </sheetViews>
  <sheetFormatPr defaultColWidth="9.109375" defaultRowHeight="13.2"/>
  <cols>
    <col min="1" max="1" width="52.5546875" style="1" customWidth="1"/>
    <col min="2" max="2" width="19.44140625" style="1" customWidth="1"/>
    <col min="3" max="3" width="20" style="1" bestFit="1" customWidth="1"/>
    <col min="4" max="4" width="20.109375" style="1" customWidth="1"/>
    <col min="5" max="5" width="17" style="1" customWidth="1"/>
    <col min="6" max="6" width="17.88671875" style="1" customWidth="1"/>
    <col min="7" max="16384" width="9.109375" style="1"/>
  </cols>
  <sheetData>
    <row r="1" spans="1:6" ht="18">
      <c r="D1" s="39"/>
      <c r="E1" s="59" t="s">
        <v>51</v>
      </c>
      <c r="F1" s="60"/>
    </row>
    <row r="2" spans="1:6" s="19" customFormat="1" ht="69" customHeight="1">
      <c r="A2" s="18"/>
      <c r="B2" s="18"/>
      <c r="D2" s="61" t="s">
        <v>79</v>
      </c>
      <c r="E2" s="62"/>
      <c r="F2" s="62"/>
    </row>
    <row r="3" spans="1:6" s="19" customFormat="1" ht="15.6">
      <c r="A3" s="18"/>
      <c r="B3" s="18"/>
      <c r="D3" s="18"/>
    </row>
    <row r="4" spans="1:6" s="19" customFormat="1" ht="39.75" customHeight="1">
      <c r="A4" s="53" t="s">
        <v>91</v>
      </c>
      <c r="B4" s="53"/>
      <c r="C4" s="53"/>
      <c r="D4" s="53"/>
      <c r="E4" s="53"/>
      <c r="F4" s="53"/>
    </row>
    <row r="5" spans="1:6" ht="27" customHeight="1">
      <c r="A5" s="3"/>
      <c r="B5" s="3"/>
      <c r="C5" s="3"/>
      <c r="D5" s="3"/>
      <c r="E5" s="2"/>
      <c r="F5" s="22" t="s">
        <v>49</v>
      </c>
    </row>
    <row r="6" spans="1:6" s="4" customFormat="1" ht="62.4">
      <c r="A6" s="37" t="s">
        <v>30</v>
      </c>
      <c r="B6" s="37" t="s">
        <v>53</v>
      </c>
      <c r="C6" s="37" t="s">
        <v>54</v>
      </c>
      <c r="D6" s="37" t="s">
        <v>55</v>
      </c>
      <c r="E6" s="38" t="s">
        <v>31</v>
      </c>
      <c r="F6" s="38" t="s">
        <v>32</v>
      </c>
    </row>
    <row r="7" spans="1:6" s="4" customFormat="1">
      <c r="A7" s="40" t="s">
        <v>93</v>
      </c>
      <c r="B7" s="40" t="s">
        <v>94</v>
      </c>
      <c r="C7" s="40" t="s">
        <v>95</v>
      </c>
      <c r="D7" s="40" t="s">
        <v>96</v>
      </c>
      <c r="E7" s="41">
        <v>5</v>
      </c>
      <c r="F7" s="41">
        <v>6</v>
      </c>
    </row>
    <row r="8" spans="1:6" ht="35.25" customHeight="1">
      <c r="A8" s="54" t="s">
        <v>50</v>
      </c>
      <c r="B8" s="55"/>
      <c r="C8" s="55"/>
      <c r="D8" s="55"/>
      <c r="E8" s="55"/>
      <c r="F8" s="56"/>
    </row>
    <row r="9" spans="1:6" ht="78">
      <c r="A9" s="29" t="s">
        <v>57</v>
      </c>
      <c r="B9" s="30">
        <f>127168265.9/1000</f>
        <v>127168.26590000001</v>
      </c>
      <c r="C9" s="30">
        <f>126113107.05/1000</f>
        <v>126113.10704999999</v>
      </c>
      <c r="D9" s="30">
        <f>126113107.05/1000</f>
        <v>126113.10704999999</v>
      </c>
      <c r="E9" s="31">
        <f>D9*100/B9</f>
        <v>99.170265598471104</v>
      </c>
      <c r="F9" s="31">
        <f>C9*100/B9</f>
        <v>99.170265598471104</v>
      </c>
    </row>
    <row r="10" spans="1:6" ht="93.6">
      <c r="A10" s="29" t="s">
        <v>58</v>
      </c>
      <c r="B10" s="30">
        <f>1492469/1000</f>
        <v>1492.4690000000001</v>
      </c>
      <c r="C10" s="30">
        <f>1009721.46/1000</f>
        <v>1009.72146</v>
      </c>
      <c r="D10" s="30">
        <f>1009721.46/1000</f>
        <v>1009.72146</v>
      </c>
      <c r="E10" s="31">
        <f t="shared" ref="E10:E20" si="0">D10*100/B10</f>
        <v>67.654434363460808</v>
      </c>
      <c r="F10" s="31">
        <f t="shared" ref="F10:F20" si="1">C10*100/B10</f>
        <v>67.654434363460808</v>
      </c>
    </row>
    <row r="11" spans="1:6" ht="93.6">
      <c r="A11" s="32" t="s">
        <v>59</v>
      </c>
      <c r="B11" s="30">
        <f>1422019.6/1000</f>
        <v>1422.0196000000001</v>
      </c>
      <c r="C11" s="30">
        <f>1422019.6/1000</f>
        <v>1422.0196000000001</v>
      </c>
      <c r="D11" s="30">
        <f>1422019.6/1000</f>
        <v>1422.0196000000001</v>
      </c>
      <c r="E11" s="31">
        <f t="shared" si="0"/>
        <v>100.00000000000001</v>
      </c>
      <c r="F11" s="31">
        <f t="shared" si="1"/>
        <v>100.00000000000001</v>
      </c>
    </row>
    <row r="12" spans="1:6" ht="265.2">
      <c r="A12" s="32" t="s">
        <v>60</v>
      </c>
      <c r="B12" s="30">
        <f>84667600/1000</f>
        <v>84667.6</v>
      </c>
      <c r="C12" s="30">
        <f>83035739.92/1000</f>
        <v>83035.739920000007</v>
      </c>
      <c r="D12" s="30">
        <f>83035739.92/1000</f>
        <v>83035.739920000007</v>
      </c>
      <c r="E12" s="31">
        <f t="shared" si="0"/>
        <v>98.072627451350925</v>
      </c>
      <c r="F12" s="31">
        <f t="shared" si="1"/>
        <v>98.072627451350925</v>
      </c>
    </row>
    <row r="13" spans="1:6" ht="187.2">
      <c r="A13" s="32" t="s">
        <v>61</v>
      </c>
      <c r="B13" s="30">
        <f>2031400/1000</f>
        <v>2031.4</v>
      </c>
      <c r="C13" s="30">
        <f>1861151.29/1000</f>
        <v>1861.15129</v>
      </c>
      <c r="D13" s="30">
        <f>1861151.29/1000</f>
        <v>1861.15129</v>
      </c>
      <c r="E13" s="31">
        <f t="shared" si="0"/>
        <v>91.619143940139807</v>
      </c>
      <c r="F13" s="31">
        <f t="shared" si="1"/>
        <v>91.619143940139807</v>
      </c>
    </row>
    <row r="14" spans="1:6" ht="265.2">
      <c r="A14" s="32" t="s">
        <v>62</v>
      </c>
      <c r="B14" s="30">
        <f>224357000/1000</f>
        <v>224357</v>
      </c>
      <c r="C14" s="30">
        <f>219941014.07/1000</f>
        <v>219941.01407</v>
      </c>
      <c r="D14" s="30">
        <f>219941014.07/1000</f>
        <v>219941.01407</v>
      </c>
      <c r="E14" s="31">
        <f t="shared" si="0"/>
        <v>98.031714664574764</v>
      </c>
      <c r="F14" s="31">
        <f t="shared" si="1"/>
        <v>98.031714664574764</v>
      </c>
    </row>
    <row r="15" spans="1:6" ht="124.8">
      <c r="A15" s="32" t="s">
        <v>63</v>
      </c>
      <c r="B15" s="30">
        <f>739808.4/1000</f>
        <v>739.80840000000001</v>
      </c>
      <c r="C15" s="30">
        <f>739808.4/1000</f>
        <v>739.80840000000001</v>
      </c>
      <c r="D15" s="30">
        <f>739808.4/1000</f>
        <v>739.80840000000001</v>
      </c>
      <c r="E15" s="31">
        <f t="shared" si="0"/>
        <v>100</v>
      </c>
      <c r="F15" s="31">
        <f t="shared" si="1"/>
        <v>100</v>
      </c>
    </row>
    <row r="16" spans="1:6" ht="124.8">
      <c r="A16" s="32" t="s">
        <v>64</v>
      </c>
      <c r="B16" s="30">
        <f>5461216.22/1000</f>
        <v>5461.2162199999993</v>
      </c>
      <c r="C16" s="30">
        <f>5461200/1000</f>
        <v>5461.2</v>
      </c>
      <c r="D16" s="30">
        <f>5461200/1000</f>
        <v>5461.2</v>
      </c>
      <c r="E16" s="31">
        <f t="shared" si="0"/>
        <v>99.999702996560728</v>
      </c>
      <c r="F16" s="31">
        <f t="shared" si="1"/>
        <v>99.999702996560728</v>
      </c>
    </row>
    <row r="17" spans="1:6" ht="78">
      <c r="A17" s="29" t="s">
        <v>65</v>
      </c>
      <c r="B17" s="30">
        <f>6000/1000</f>
        <v>6</v>
      </c>
      <c r="C17" s="30">
        <f>5986/1000</f>
        <v>5.9859999999999998</v>
      </c>
      <c r="D17" s="30">
        <f>5986/1000</f>
        <v>5.9859999999999998</v>
      </c>
      <c r="E17" s="31">
        <f t="shared" si="0"/>
        <v>99.766666666666666</v>
      </c>
      <c r="F17" s="31">
        <f t="shared" si="1"/>
        <v>99.766666666666666</v>
      </c>
    </row>
    <row r="18" spans="1:6" ht="128.25" customHeight="1">
      <c r="A18" s="32" t="s">
        <v>66</v>
      </c>
      <c r="B18" s="30">
        <f>2778210.12/1000</f>
        <v>2778.2101200000002</v>
      </c>
      <c r="C18" s="30">
        <f>2778210.12/1000</f>
        <v>2778.2101200000002</v>
      </c>
      <c r="D18" s="30">
        <f>2778210.12/1000</f>
        <v>2778.2101200000002</v>
      </c>
      <c r="E18" s="31">
        <f t="shared" si="0"/>
        <v>100.00000000000001</v>
      </c>
      <c r="F18" s="31">
        <f t="shared" si="1"/>
        <v>100.00000000000001</v>
      </c>
    </row>
    <row r="19" spans="1:6" ht="114.75" customHeight="1">
      <c r="A19" s="32" t="s">
        <v>67</v>
      </c>
      <c r="B19" s="30">
        <f>609455.4/1000</f>
        <v>609.45540000000005</v>
      </c>
      <c r="C19" s="30">
        <f>609455.4/1000</f>
        <v>609.45540000000005</v>
      </c>
      <c r="D19" s="30">
        <f>609455.4/1000</f>
        <v>609.45540000000005</v>
      </c>
      <c r="E19" s="31">
        <f t="shared" si="0"/>
        <v>100</v>
      </c>
      <c r="F19" s="31">
        <f t="shared" si="1"/>
        <v>100</v>
      </c>
    </row>
    <row r="20" spans="1:6" ht="114.75" customHeight="1">
      <c r="A20" s="32" t="s">
        <v>67</v>
      </c>
      <c r="B20" s="30">
        <f>20315/1000</f>
        <v>20.315000000000001</v>
      </c>
      <c r="C20" s="30">
        <f>20315/1000</f>
        <v>20.315000000000001</v>
      </c>
      <c r="D20" s="30">
        <f>20315/1000</f>
        <v>20.315000000000001</v>
      </c>
      <c r="E20" s="31">
        <f t="shared" si="0"/>
        <v>100</v>
      </c>
      <c r="F20" s="31">
        <f t="shared" si="1"/>
        <v>100</v>
      </c>
    </row>
    <row r="21" spans="1:6" ht="124.8">
      <c r="A21" s="32" t="s">
        <v>68</v>
      </c>
      <c r="B21" s="30">
        <f>600733.78/1000</f>
        <v>600.73378000000002</v>
      </c>
      <c r="C21" s="30">
        <f>600733.78/1000</f>
        <v>600.73378000000002</v>
      </c>
      <c r="D21" s="30">
        <f>600733.78/1000</f>
        <v>600.73378000000002</v>
      </c>
      <c r="E21" s="31">
        <f t="shared" ref="E21:E22" si="2">D21*100/B21</f>
        <v>100</v>
      </c>
      <c r="F21" s="31">
        <f t="shared" ref="F21:F22" si="3">C21*100/B21</f>
        <v>100</v>
      </c>
    </row>
    <row r="22" spans="1:6" ht="124.8">
      <c r="A22" s="32" t="s">
        <v>92</v>
      </c>
      <c r="B22" s="30">
        <f>11738300/1000</f>
        <v>11738.3</v>
      </c>
      <c r="C22" s="30">
        <f>11738300/1000</f>
        <v>11738.3</v>
      </c>
      <c r="D22" s="30">
        <f>11738300/1000</f>
        <v>11738.3</v>
      </c>
      <c r="E22" s="31">
        <f t="shared" si="2"/>
        <v>100</v>
      </c>
      <c r="F22" s="31">
        <f t="shared" si="3"/>
        <v>100</v>
      </c>
    </row>
    <row r="23" spans="1:6" s="8" customFormat="1" ht="22.5" customHeight="1">
      <c r="A23" s="33"/>
      <c r="B23" s="26">
        <f>SUM(B9:B22)</f>
        <v>463092.79342</v>
      </c>
      <c r="C23" s="26">
        <f t="shared" ref="C23:D23" si="4">SUM(C9:C22)</f>
        <v>455336.76208999992</v>
      </c>
      <c r="D23" s="26">
        <f t="shared" si="4"/>
        <v>455336.76208999992</v>
      </c>
      <c r="E23" s="26">
        <f>D23*100/B23</f>
        <v>98.325166912505637</v>
      </c>
      <c r="F23" s="26">
        <f>C23*100/B23</f>
        <v>98.325166912505637</v>
      </c>
    </row>
    <row r="24" spans="1:6" ht="57.75" customHeight="1">
      <c r="A24" s="57" t="s">
        <v>35</v>
      </c>
      <c r="B24" s="57"/>
      <c r="C24" s="57"/>
      <c r="D24" s="57"/>
      <c r="E24" s="57"/>
      <c r="F24" s="57"/>
    </row>
    <row r="25" spans="1:6" ht="78">
      <c r="A25" s="29" t="s">
        <v>57</v>
      </c>
      <c r="B25" s="30">
        <f>156718200.87/1000</f>
        <v>156718.20087</v>
      </c>
      <c r="C25" s="30">
        <f>156117893.1/1000</f>
        <v>156117.89309999999</v>
      </c>
      <c r="D25" s="30">
        <f>156117893.1/1000</f>
        <v>156117.89309999999</v>
      </c>
      <c r="E25" s="31">
        <f t="shared" ref="E25:E61" si="5">D25*100/B25</f>
        <v>99.616950828514177</v>
      </c>
      <c r="F25" s="31">
        <f t="shared" ref="F25:F62" si="6">C25*100/B25</f>
        <v>99.616950828514177</v>
      </c>
    </row>
    <row r="26" spans="1:6" ht="124.8">
      <c r="A26" s="32" t="s">
        <v>70</v>
      </c>
      <c r="B26" s="30">
        <f>76434.72/1000</f>
        <v>76.434719999999999</v>
      </c>
      <c r="C26" s="30">
        <f>76434.72/1000</f>
        <v>76.434719999999999</v>
      </c>
      <c r="D26" s="30">
        <f>76434.72/1000</f>
        <v>76.434719999999999</v>
      </c>
      <c r="E26" s="31">
        <f t="shared" si="5"/>
        <v>100</v>
      </c>
      <c r="F26" s="31">
        <f t="shared" si="6"/>
        <v>100</v>
      </c>
    </row>
    <row r="27" spans="1:6" ht="81.75" customHeight="1">
      <c r="A27" s="29" t="s">
        <v>71</v>
      </c>
      <c r="B27" s="30">
        <f>151920/1000</f>
        <v>151.91999999999999</v>
      </c>
      <c r="C27" s="30">
        <f>149459.1/1000</f>
        <v>149.45910000000001</v>
      </c>
      <c r="D27" s="30">
        <f>149459.1/1000</f>
        <v>149.45910000000001</v>
      </c>
      <c r="E27" s="31">
        <f t="shared" si="5"/>
        <v>98.38013428120064</v>
      </c>
      <c r="F27" s="31">
        <f t="shared" si="6"/>
        <v>98.38013428120064</v>
      </c>
    </row>
    <row r="28" spans="1:6" ht="273.75" customHeight="1">
      <c r="A28" s="32" t="s">
        <v>72</v>
      </c>
      <c r="B28" s="30">
        <f>52227500/1000</f>
        <v>52227.5</v>
      </c>
      <c r="C28" s="30">
        <f>51566700/1000</f>
        <v>51566.7</v>
      </c>
      <c r="D28" s="30">
        <f>51566700/1000</f>
        <v>51566.7</v>
      </c>
      <c r="E28" s="31">
        <f t="shared" si="5"/>
        <v>98.734766167249049</v>
      </c>
      <c r="F28" s="31">
        <f t="shared" si="6"/>
        <v>98.734766167249049</v>
      </c>
    </row>
    <row r="29" spans="1:6" ht="78">
      <c r="A29" s="29" t="s">
        <v>73</v>
      </c>
      <c r="B29" s="30">
        <f>3146000/1000</f>
        <v>3146</v>
      </c>
      <c r="C29" s="30">
        <f>3145999.58/1000</f>
        <v>3145.9995800000002</v>
      </c>
      <c r="D29" s="30">
        <f>3145999.58/1000</f>
        <v>3145.9995800000002</v>
      </c>
      <c r="E29" s="31">
        <f t="shared" ref="E29:E39" si="7">D29*100/B29</f>
        <v>99.999986649713932</v>
      </c>
      <c r="F29" s="31">
        <f t="shared" ref="F29:F39" si="8">C29*100/B29</f>
        <v>99.999986649713932</v>
      </c>
    </row>
    <row r="30" spans="1:6" ht="280.8">
      <c r="A30" s="32" t="s">
        <v>74</v>
      </c>
      <c r="B30" s="30">
        <f>357110600/1000</f>
        <v>357110.6</v>
      </c>
      <c r="C30" s="30">
        <f>354660600/1000</f>
        <v>354660.6</v>
      </c>
      <c r="D30" s="30">
        <f>354660600/1000</f>
        <v>354660.6</v>
      </c>
      <c r="E30" s="31">
        <f t="shared" si="7"/>
        <v>99.313938034883321</v>
      </c>
      <c r="F30" s="31">
        <f t="shared" si="8"/>
        <v>99.313938034883321</v>
      </c>
    </row>
    <row r="31" spans="1:6" ht="124.8">
      <c r="A31" s="32" t="s">
        <v>64</v>
      </c>
      <c r="B31" s="30">
        <f>345483.78/1000</f>
        <v>345.48378000000002</v>
      </c>
      <c r="C31" s="30">
        <f>345483.78/1000</f>
        <v>345.48378000000002</v>
      </c>
      <c r="D31" s="30">
        <f>345483.78/1000</f>
        <v>345.48378000000002</v>
      </c>
      <c r="E31" s="31">
        <f t="shared" si="7"/>
        <v>100</v>
      </c>
      <c r="F31" s="31">
        <f t="shared" si="8"/>
        <v>100</v>
      </c>
    </row>
    <row r="32" spans="1:6" ht="119.25" customHeight="1">
      <c r="A32" s="32" t="s">
        <v>75</v>
      </c>
      <c r="B32" s="30">
        <f>4901214.58/1000</f>
        <v>4901.2145799999998</v>
      </c>
      <c r="C32" s="30">
        <f>4901212.85/1000</f>
        <v>4901.2128499999999</v>
      </c>
      <c r="D32" s="30">
        <f>4901212.85/1000</f>
        <v>4901.2128499999999</v>
      </c>
      <c r="E32" s="31">
        <f t="shared" si="7"/>
        <v>99.999964702626826</v>
      </c>
      <c r="F32" s="31">
        <f t="shared" si="8"/>
        <v>99.999964702626826</v>
      </c>
    </row>
    <row r="33" spans="1:6" ht="93.6">
      <c r="A33" s="29" t="s">
        <v>76</v>
      </c>
      <c r="B33" s="30">
        <f>200000/1000</f>
        <v>200</v>
      </c>
      <c r="C33" s="30">
        <f>200000/1000</f>
        <v>200</v>
      </c>
      <c r="D33" s="30">
        <f>200000/1000</f>
        <v>200</v>
      </c>
      <c r="E33" s="31">
        <f t="shared" si="7"/>
        <v>100</v>
      </c>
      <c r="F33" s="31">
        <f t="shared" si="8"/>
        <v>100</v>
      </c>
    </row>
    <row r="34" spans="1:6" ht="210.75" customHeight="1">
      <c r="A34" s="32" t="s">
        <v>77</v>
      </c>
      <c r="B34" s="30">
        <f>246659/1000</f>
        <v>246.65899999999999</v>
      </c>
      <c r="C34" s="30">
        <f>246659/1000</f>
        <v>246.65899999999999</v>
      </c>
      <c r="D34" s="30">
        <f>246659/1000</f>
        <v>246.65899999999999</v>
      </c>
      <c r="E34" s="31">
        <f t="shared" si="7"/>
        <v>100</v>
      </c>
      <c r="F34" s="31">
        <f t="shared" si="8"/>
        <v>100</v>
      </c>
    </row>
    <row r="35" spans="1:6" ht="85.5" customHeight="1">
      <c r="A35" s="29" t="s">
        <v>71</v>
      </c>
      <c r="B35" s="30">
        <f>15192/1000</f>
        <v>15.192</v>
      </c>
      <c r="C35" s="30">
        <f>15192/1000</f>
        <v>15.192</v>
      </c>
      <c r="D35" s="30">
        <f>15192/1000</f>
        <v>15.192</v>
      </c>
      <c r="E35" s="31">
        <f t="shared" si="7"/>
        <v>100</v>
      </c>
      <c r="F35" s="31">
        <f t="shared" si="8"/>
        <v>100</v>
      </c>
    </row>
    <row r="36" spans="1:6" ht="78">
      <c r="A36" s="29" t="s">
        <v>73</v>
      </c>
      <c r="B36" s="30">
        <f>31460/1000</f>
        <v>31.46</v>
      </c>
      <c r="C36" s="30">
        <f>31460/1000</f>
        <v>31.46</v>
      </c>
      <c r="D36" s="30">
        <f>31460/1000</f>
        <v>31.46</v>
      </c>
      <c r="E36" s="31">
        <f t="shared" si="7"/>
        <v>100</v>
      </c>
      <c r="F36" s="31">
        <f t="shared" si="8"/>
        <v>100</v>
      </c>
    </row>
    <row r="37" spans="1:6" ht="124.8">
      <c r="A37" s="32" t="s">
        <v>68</v>
      </c>
      <c r="B37" s="30">
        <f>38066.22/1000</f>
        <v>38.066220000000001</v>
      </c>
      <c r="C37" s="30">
        <f>38066.22/1000</f>
        <v>38.066220000000001</v>
      </c>
      <c r="D37" s="30">
        <f>38066.22/1000</f>
        <v>38.066220000000001</v>
      </c>
      <c r="E37" s="31">
        <f t="shared" si="7"/>
        <v>100</v>
      </c>
      <c r="F37" s="31">
        <f t="shared" si="8"/>
        <v>100</v>
      </c>
    </row>
    <row r="38" spans="1:6" ht="109.2">
      <c r="A38" s="32" t="s">
        <v>69</v>
      </c>
      <c r="B38" s="30">
        <f>31662100/1000</f>
        <v>31662.1</v>
      </c>
      <c r="C38" s="30">
        <f>31152944/1000</f>
        <v>31152.944</v>
      </c>
      <c r="D38" s="30">
        <f>31152944/1000</f>
        <v>31152.944</v>
      </c>
      <c r="E38" s="31">
        <f t="shared" ref="E38" si="9">D38*100/B38</f>
        <v>98.391907043436788</v>
      </c>
      <c r="F38" s="31">
        <f t="shared" ref="F38" si="10">C38*100/B38</f>
        <v>98.391907043436788</v>
      </c>
    </row>
    <row r="39" spans="1:6" ht="46.8">
      <c r="A39" s="34" t="s">
        <v>78</v>
      </c>
      <c r="B39" s="35">
        <f>14956000/1000</f>
        <v>14956</v>
      </c>
      <c r="C39" s="35">
        <f>14955164.69/1000</f>
        <v>14955.16469</v>
      </c>
      <c r="D39" s="35">
        <f>14955164.69/1000</f>
        <v>14955.16469</v>
      </c>
      <c r="E39" s="31">
        <f t="shared" si="7"/>
        <v>99.994414883658735</v>
      </c>
      <c r="F39" s="31">
        <f t="shared" si="8"/>
        <v>99.994414883658735</v>
      </c>
    </row>
    <row r="40" spans="1:6" s="8" customFormat="1" ht="24" customHeight="1">
      <c r="A40" s="33"/>
      <c r="B40" s="26">
        <f>SUM(B25:B39)</f>
        <v>621826.83117000002</v>
      </c>
      <c r="C40" s="26">
        <f>SUM(C25:C39)</f>
        <v>617603.26904000004</v>
      </c>
      <c r="D40" s="26">
        <f>SUM(D25:D39)</f>
        <v>617603.26904000004</v>
      </c>
      <c r="E40" s="27">
        <f>D40*100/B40</f>
        <v>99.320781619851772</v>
      </c>
      <c r="F40" s="27">
        <f>C40*100/B40</f>
        <v>99.320781619851772</v>
      </c>
    </row>
    <row r="41" spans="1:6" ht="36.75" customHeight="1">
      <c r="A41" s="47" t="s">
        <v>33</v>
      </c>
      <c r="B41" s="47"/>
      <c r="C41" s="47"/>
      <c r="D41" s="47"/>
      <c r="E41" s="47"/>
      <c r="F41" s="47"/>
    </row>
    <row r="42" spans="1:6" ht="93.6">
      <c r="A42" s="29" t="s">
        <v>80</v>
      </c>
      <c r="B42" s="30">
        <f>3771100/1000</f>
        <v>3771.1</v>
      </c>
      <c r="C42" s="30">
        <f>3771099.99/1000</f>
        <v>3771.0999900000002</v>
      </c>
      <c r="D42" s="30">
        <f>3771099.99/1000</f>
        <v>3771.0999900000002</v>
      </c>
      <c r="E42" s="31">
        <f t="shared" si="5"/>
        <v>99.999999734825394</v>
      </c>
      <c r="F42" s="31">
        <f t="shared" si="6"/>
        <v>99.999999734825394</v>
      </c>
    </row>
    <row r="43" spans="1:6" ht="166.5" customHeight="1">
      <c r="A43" s="32" t="s">
        <v>81</v>
      </c>
      <c r="B43" s="30">
        <f>4820200/1000</f>
        <v>4820.2</v>
      </c>
      <c r="C43" s="30">
        <f>4816489.07/1000</f>
        <v>4816.4890700000005</v>
      </c>
      <c r="D43" s="30">
        <f>4816489.07/1000</f>
        <v>4816.4890700000005</v>
      </c>
      <c r="E43" s="31">
        <f t="shared" si="5"/>
        <v>99.923012945520952</v>
      </c>
      <c r="F43" s="31">
        <f t="shared" si="6"/>
        <v>99.923012945520952</v>
      </c>
    </row>
    <row r="44" spans="1:6" ht="195" customHeight="1">
      <c r="A44" s="32" t="s">
        <v>82</v>
      </c>
      <c r="B44" s="30">
        <f>555500/1000</f>
        <v>555.5</v>
      </c>
      <c r="C44" s="30">
        <f>458410.09/1000</f>
        <v>458.41009000000003</v>
      </c>
      <c r="D44" s="30">
        <f>458410.09/1000</f>
        <v>458.41009000000003</v>
      </c>
      <c r="E44" s="31">
        <f t="shared" si="5"/>
        <v>82.522068406840688</v>
      </c>
      <c r="F44" s="31">
        <f t="shared" si="6"/>
        <v>82.522068406840688</v>
      </c>
    </row>
    <row r="45" spans="1:6" ht="78">
      <c r="A45" s="29" t="s">
        <v>83</v>
      </c>
      <c r="B45" s="30">
        <f>926000/1000</f>
        <v>926</v>
      </c>
      <c r="C45" s="30">
        <f>923639.03/1000</f>
        <v>923.63903000000005</v>
      </c>
      <c r="D45" s="30">
        <f>923639.03/1000</f>
        <v>923.63903000000005</v>
      </c>
      <c r="E45" s="31">
        <f t="shared" si="5"/>
        <v>99.74503563714903</v>
      </c>
      <c r="F45" s="31">
        <f t="shared" si="6"/>
        <v>99.74503563714903</v>
      </c>
    </row>
    <row r="46" spans="1:6" ht="78">
      <c r="A46" s="29" t="s">
        <v>84</v>
      </c>
      <c r="B46" s="30">
        <f>600000/1000</f>
        <v>600</v>
      </c>
      <c r="C46" s="30">
        <f>587041.8/1000</f>
        <v>587.04180000000008</v>
      </c>
      <c r="D46" s="30">
        <f>587041.8/1000</f>
        <v>587.04180000000008</v>
      </c>
      <c r="E46" s="31">
        <f t="shared" si="5"/>
        <v>97.840300000000013</v>
      </c>
      <c r="F46" s="31">
        <f t="shared" si="6"/>
        <v>97.840300000000013</v>
      </c>
    </row>
    <row r="47" spans="1:6" ht="62.4">
      <c r="A47" s="29" t="s">
        <v>85</v>
      </c>
      <c r="B47" s="30">
        <f>595634/1000</f>
        <v>595.63400000000001</v>
      </c>
      <c r="C47" s="30">
        <f>595634/1000</f>
        <v>595.63400000000001</v>
      </c>
      <c r="D47" s="30">
        <f>595634/1000</f>
        <v>595.63400000000001</v>
      </c>
      <c r="E47" s="31">
        <f t="shared" si="5"/>
        <v>100</v>
      </c>
      <c r="F47" s="31">
        <f t="shared" si="6"/>
        <v>100</v>
      </c>
    </row>
    <row r="48" spans="1:6" ht="85.5" customHeight="1">
      <c r="A48" s="29" t="s">
        <v>86</v>
      </c>
      <c r="B48" s="30">
        <f>2938413.73/1000</f>
        <v>2938.4137299999998</v>
      </c>
      <c r="C48" s="30">
        <f>2934995.12/1000</f>
        <v>2934.99512</v>
      </c>
      <c r="D48" s="30">
        <f>2934995.12/1000</f>
        <v>2934.99512</v>
      </c>
      <c r="E48" s="31">
        <f t="shared" si="5"/>
        <v>99.883657976237401</v>
      </c>
      <c r="F48" s="31">
        <f t="shared" si="6"/>
        <v>99.883657976237401</v>
      </c>
    </row>
    <row r="49" spans="1:6" ht="62.4">
      <c r="A49" s="29" t="s">
        <v>87</v>
      </c>
      <c r="B49" s="30">
        <f>1046684.4/1000</f>
        <v>1046.6844000000001</v>
      </c>
      <c r="C49" s="30">
        <f>1039702/1000</f>
        <v>1039.702</v>
      </c>
      <c r="D49" s="30">
        <f>1039702/1000</f>
        <v>1039.702</v>
      </c>
      <c r="E49" s="31">
        <f t="shared" si="5"/>
        <v>99.332903022152607</v>
      </c>
      <c r="F49" s="31">
        <f t="shared" si="6"/>
        <v>99.332903022152607</v>
      </c>
    </row>
    <row r="50" spans="1:6" ht="93.6">
      <c r="A50" s="29" t="s">
        <v>80</v>
      </c>
      <c r="B50" s="30">
        <f>1683259.5/1000</f>
        <v>1683.2594999999999</v>
      </c>
      <c r="C50" s="30">
        <f>1617248.01/1000</f>
        <v>1617.24801</v>
      </c>
      <c r="D50" s="30">
        <f>1617248.01/1000</f>
        <v>1617.24801</v>
      </c>
      <c r="E50" s="31">
        <f t="shared" si="5"/>
        <v>96.078353337676106</v>
      </c>
      <c r="F50" s="31">
        <f t="shared" si="6"/>
        <v>96.078353337676106</v>
      </c>
    </row>
    <row r="51" spans="1:6" ht="161.25" customHeight="1">
      <c r="A51" s="32" t="s">
        <v>81</v>
      </c>
      <c r="B51" s="30">
        <f>1914203.6/1000</f>
        <v>1914.2036000000001</v>
      </c>
      <c r="C51" s="30">
        <f>1914202.8/1000</f>
        <v>1914.2028</v>
      </c>
      <c r="D51" s="30">
        <f>1914202.8/1000</f>
        <v>1914.2028</v>
      </c>
      <c r="E51" s="31">
        <f t="shared" si="5"/>
        <v>99.999958207162493</v>
      </c>
      <c r="F51" s="31">
        <f t="shared" si="6"/>
        <v>99.999958207162493</v>
      </c>
    </row>
    <row r="52" spans="1:6" ht="192.75" customHeight="1">
      <c r="A52" s="32" t="s">
        <v>82</v>
      </c>
      <c r="B52" s="30">
        <f>555.5/1000</f>
        <v>0.55549999999999999</v>
      </c>
      <c r="C52" s="30">
        <f>458.41/1000</f>
        <v>0.45841000000000004</v>
      </c>
      <c r="D52" s="30">
        <f>458.41/1000</f>
        <v>0.45841000000000004</v>
      </c>
      <c r="E52" s="31">
        <f t="shared" si="5"/>
        <v>82.522052205220518</v>
      </c>
      <c r="F52" s="31">
        <f t="shared" si="6"/>
        <v>82.522052205220518</v>
      </c>
    </row>
    <row r="53" spans="1:6" s="8" customFormat="1" ht="43.5" customHeight="1">
      <c r="A53" s="33"/>
      <c r="B53" s="36">
        <f>SUM(B42:B52)</f>
        <v>18851.550729999999</v>
      </c>
      <c r="C53" s="36">
        <f>SUM(C42:C52)</f>
        <v>18658.920319999997</v>
      </c>
      <c r="D53" s="36">
        <f>SUM(D42:D52)</f>
        <v>18658.920319999997</v>
      </c>
      <c r="E53" s="27">
        <f t="shared" si="5"/>
        <v>98.97817207316821</v>
      </c>
      <c r="F53" s="27">
        <f t="shared" si="6"/>
        <v>98.97817207316821</v>
      </c>
    </row>
    <row r="54" spans="1:6" ht="70.5" customHeight="1">
      <c r="A54" s="48" t="s">
        <v>34</v>
      </c>
      <c r="B54" s="48"/>
      <c r="C54" s="48"/>
      <c r="D54" s="48"/>
      <c r="E54" s="48"/>
      <c r="F54" s="48"/>
    </row>
    <row r="55" spans="1:6" ht="78">
      <c r="A55" s="29" t="s">
        <v>57</v>
      </c>
      <c r="B55" s="30">
        <f>3393162/1000</f>
        <v>3393.1619999999998</v>
      </c>
      <c r="C55" s="30">
        <f>3370054.51/1000</f>
        <v>3370.0545099999999</v>
      </c>
      <c r="D55" s="30">
        <f>3370054.51/1000</f>
        <v>3370.0545099999999</v>
      </c>
      <c r="E55" s="31">
        <f t="shared" si="5"/>
        <v>99.318998326634571</v>
      </c>
      <c r="F55" s="31">
        <f t="shared" si="6"/>
        <v>99.318998326634571</v>
      </c>
    </row>
    <row r="56" spans="1:6" ht="93.6">
      <c r="A56" s="32" t="s">
        <v>88</v>
      </c>
      <c r="B56" s="30">
        <f>149199/1000</f>
        <v>149.19900000000001</v>
      </c>
      <c r="C56" s="30">
        <f>149199/1000</f>
        <v>149.19900000000001</v>
      </c>
      <c r="D56" s="30">
        <f>149199/1000</f>
        <v>149.19900000000001</v>
      </c>
      <c r="E56" s="31">
        <f t="shared" si="5"/>
        <v>100</v>
      </c>
      <c r="F56" s="31">
        <f t="shared" si="6"/>
        <v>100</v>
      </c>
    </row>
    <row r="57" spans="1:6" ht="78">
      <c r="A57" s="29" t="s">
        <v>89</v>
      </c>
      <c r="B57" s="30">
        <f>179128/1000</f>
        <v>179.12799999999999</v>
      </c>
      <c r="C57" s="30">
        <f>179128/1000</f>
        <v>179.12799999999999</v>
      </c>
      <c r="D57" s="30">
        <f>179128/1000</f>
        <v>179.12799999999999</v>
      </c>
      <c r="E57" s="31">
        <f t="shared" si="5"/>
        <v>100</v>
      </c>
      <c r="F57" s="31">
        <f t="shared" si="6"/>
        <v>100</v>
      </c>
    </row>
    <row r="58" spans="1:6" ht="93.6">
      <c r="A58" s="32" t="s">
        <v>25</v>
      </c>
      <c r="B58" s="30">
        <f>5248652.22/1000</f>
        <v>5248.6522199999999</v>
      </c>
      <c r="C58" s="30">
        <f>5141605.69/1000</f>
        <v>5141.6056900000003</v>
      </c>
      <c r="D58" s="30">
        <f>5141605.69/1000</f>
        <v>5141.6056900000003</v>
      </c>
      <c r="E58" s="31">
        <f t="shared" si="5"/>
        <v>97.960494894439776</v>
      </c>
      <c r="F58" s="31">
        <f t="shared" si="6"/>
        <v>97.960494894439776</v>
      </c>
    </row>
    <row r="59" spans="1:6" ht="93.6">
      <c r="A59" s="29" t="s">
        <v>26</v>
      </c>
      <c r="B59" s="30">
        <f>35061396.6/1000</f>
        <v>35061.3966</v>
      </c>
      <c r="C59" s="30">
        <f>34974431.46/1000</f>
        <v>34974.43146</v>
      </c>
      <c r="D59" s="30">
        <f>34974431.46/1000</f>
        <v>34974.43146</v>
      </c>
      <c r="E59" s="31">
        <f t="shared" si="5"/>
        <v>99.751963274617538</v>
      </c>
      <c r="F59" s="31">
        <f t="shared" si="6"/>
        <v>99.751963274617538</v>
      </c>
    </row>
    <row r="60" spans="1:6" ht="116.25" customHeight="1">
      <c r="A60" s="32" t="s">
        <v>27</v>
      </c>
      <c r="B60" s="30">
        <f>3238700/1000</f>
        <v>3238.7</v>
      </c>
      <c r="C60" s="30">
        <f>3237824.09/1000</f>
        <v>3237.8240900000001</v>
      </c>
      <c r="D60" s="30">
        <f>3237824.09/1000</f>
        <v>3237.8240900000001</v>
      </c>
      <c r="E60" s="31">
        <f t="shared" si="5"/>
        <v>99.972954889307445</v>
      </c>
      <c r="F60" s="31">
        <f t="shared" si="6"/>
        <v>99.972954889307445</v>
      </c>
    </row>
    <row r="61" spans="1:6" ht="140.4">
      <c r="A61" s="32" t="s">
        <v>90</v>
      </c>
      <c r="B61" s="30">
        <f>38897.4/1000</f>
        <v>38.897400000000005</v>
      </c>
      <c r="C61" s="30">
        <f>38897.4/1000</f>
        <v>38.897400000000005</v>
      </c>
      <c r="D61" s="30">
        <f>38897.4/1000</f>
        <v>38.897400000000005</v>
      </c>
      <c r="E61" s="31">
        <f t="shared" si="5"/>
        <v>100</v>
      </c>
      <c r="F61" s="31">
        <f t="shared" si="6"/>
        <v>100</v>
      </c>
    </row>
    <row r="62" spans="1:6" s="8" customFormat="1" ht="27.75" customHeight="1">
      <c r="A62" s="33"/>
      <c r="B62" s="26">
        <f>SUM(B55:B61)</f>
        <v>47309.135219999996</v>
      </c>
      <c r="C62" s="26">
        <f>SUM(C55:C61)</f>
        <v>47091.140149999999</v>
      </c>
      <c r="D62" s="26">
        <f>SUM(D55:D61)</f>
        <v>47091.140149999999</v>
      </c>
      <c r="E62" s="27">
        <f>D62*100/B62</f>
        <v>99.539211467328101</v>
      </c>
      <c r="F62" s="27">
        <f t="shared" si="6"/>
        <v>99.539211467328101</v>
      </c>
    </row>
    <row r="63" spans="1:6" ht="45.75" customHeight="1">
      <c r="A63" s="28" t="s">
        <v>56</v>
      </c>
      <c r="B63" s="26">
        <f>B62+B53+B40+B23</f>
        <v>1151080.31054</v>
      </c>
      <c r="C63" s="26">
        <f>C62+C53+C40+C23</f>
        <v>1138690.0915999999</v>
      </c>
      <c r="D63" s="26">
        <f>D62+D53+D40+D23</f>
        <v>1138690.0915999999</v>
      </c>
      <c r="E63" s="27">
        <f>D63*100/B63</f>
        <v>98.9236008272796</v>
      </c>
      <c r="F63" s="27">
        <f>C63*100/B63</f>
        <v>98.9236008272796</v>
      </c>
    </row>
  </sheetData>
  <mergeCells count="7">
    <mergeCell ref="A54:F54"/>
    <mergeCell ref="E1:F1"/>
    <mergeCell ref="D2:F2"/>
    <mergeCell ref="A4:F4"/>
    <mergeCell ref="A8:F8"/>
    <mergeCell ref="A24:F24"/>
    <mergeCell ref="A41:F41"/>
  </mergeCells>
  <pageMargins left="0.52" right="0.4" top="0.49" bottom="0.51181102362204722" header="0.17" footer="0.51181102362204722"/>
  <pageSetup paperSize="9"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59"/>
  <sheetViews>
    <sheetView showGridLines="0" view="pageBreakPreview" zoomScaleNormal="75" zoomScaleSheetLayoutView="100" workbookViewId="0">
      <pane ySplit="6" topLeftCell="A7" activePane="bottomLeft" state="frozen"/>
      <selection pane="bottomLeft" activeCell="D2" sqref="D2:F2"/>
    </sheetView>
  </sheetViews>
  <sheetFormatPr defaultColWidth="9.109375" defaultRowHeight="13.2"/>
  <cols>
    <col min="1" max="1" width="46.88671875" style="1" customWidth="1"/>
    <col min="2" max="4" width="15.44140625" style="1" customWidth="1"/>
    <col min="5" max="5" width="12.88671875" style="1" customWidth="1"/>
    <col min="6" max="6" width="16.5546875" style="1" customWidth="1"/>
    <col min="7" max="16384" width="9.109375" style="1"/>
  </cols>
  <sheetData>
    <row r="1" spans="1:6" ht="15.6">
      <c r="E1" s="49" t="s">
        <v>51</v>
      </c>
      <c r="F1" s="63"/>
    </row>
    <row r="2" spans="1:6" s="19" customFormat="1" ht="45" customHeight="1">
      <c r="A2" s="18"/>
      <c r="B2" s="18"/>
      <c r="D2" s="51" t="s">
        <v>52</v>
      </c>
      <c r="E2" s="74"/>
      <c r="F2" s="74"/>
    </row>
    <row r="3" spans="1:6" s="19" customFormat="1" ht="9.75" customHeight="1">
      <c r="A3" s="18"/>
      <c r="B3" s="18"/>
      <c r="D3" s="18"/>
    </row>
    <row r="4" spans="1:6" s="19" customFormat="1" ht="32.25" customHeight="1">
      <c r="A4" s="70" t="s">
        <v>48</v>
      </c>
      <c r="B4" s="70"/>
      <c r="C4" s="70"/>
      <c r="D4" s="70"/>
      <c r="E4" s="70"/>
      <c r="F4" s="70"/>
    </row>
    <row r="5" spans="1:6" ht="13.8">
      <c r="A5" s="3"/>
      <c r="B5" s="3"/>
      <c r="C5" s="3"/>
      <c r="D5" s="3"/>
      <c r="E5" s="2"/>
      <c r="F5" s="22" t="s">
        <v>49</v>
      </c>
    </row>
    <row r="6" spans="1:6" s="4" customFormat="1" ht="55.2">
      <c r="A6" s="20" t="s">
        <v>30</v>
      </c>
      <c r="B6" s="20" t="s">
        <v>36</v>
      </c>
      <c r="C6" s="20" t="s">
        <v>37</v>
      </c>
      <c r="D6" s="20" t="s">
        <v>38</v>
      </c>
      <c r="E6" s="21" t="s">
        <v>31</v>
      </c>
      <c r="F6" s="21" t="s">
        <v>32</v>
      </c>
    </row>
    <row r="7" spans="1:6" ht="33.75" customHeight="1">
      <c r="A7" s="64" t="s">
        <v>50</v>
      </c>
      <c r="B7" s="65"/>
      <c r="C7" s="65"/>
      <c r="D7" s="65"/>
      <c r="E7" s="65"/>
      <c r="F7" s="66"/>
    </row>
    <row r="8" spans="1:6" ht="53.25" customHeight="1">
      <c r="A8" s="10" t="s">
        <v>0</v>
      </c>
      <c r="B8" s="11">
        <f>176108554/1000</f>
        <v>176108.554</v>
      </c>
      <c r="C8" s="11">
        <f>173108777.12/1000</f>
        <v>173108.77712000001</v>
      </c>
      <c r="D8" s="11">
        <f>173108777.12/1000</f>
        <v>173108.77712000001</v>
      </c>
      <c r="E8" s="12">
        <f>D8*100/B8</f>
        <v>98.296631928509285</v>
      </c>
      <c r="F8" s="12">
        <f>C8*100/B8</f>
        <v>98.296631928509285</v>
      </c>
    </row>
    <row r="9" spans="1:6" ht="65.25" customHeight="1">
      <c r="A9" s="10" t="s">
        <v>1</v>
      </c>
      <c r="B9" s="11">
        <f>950695/1000</f>
        <v>950.69500000000005</v>
      </c>
      <c r="C9" s="11">
        <f>841427.11/1000</f>
        <v>841.42710999999997</v>
      </c>
      <c r="D9" s="11">
        <f>841427.11/1000</f>
        <v>841.42710999999997</v>
      </c>
      <c r="E9" s="12">
        <f t="shared" ref="E9:E19" si="0">D9*100/B9</f>
        <v>88.506525226281809</v>
      </c>
      <c r="F9" s="12">
        <f t="shared" ref="F9:F19" si="1">C9*100/B9</f>
        <v>88.506525226281809</v>
      </c>
    </row>
    <row r="10" spans="1:6" ht="72">
      <c r="A10" s="13" t="s">
        <v>2</v>
      </c>
      <c r="B10" s="11">
        <f>12614520.43/1000</f>
        <v>12614.52043</v>
      </c>
      <c r="C10" s="11">
        <f>12614520.41/1000</f>
        <v>12614.520410000001</v>
      </c>
      <c r="D10" s="11">
        <f>12614520.41/1000</f>
        <v>12614.520410000001</v>
      </c>
      <c r="E10" s="12">
        <f t="shared" si="0"/>
        <v>99.999999841452563</v>
      </c>
      <c r="F10" s="12">
        <f t="shared" si="1"/>
        <v>99.999999841452563</v>
      </c>
    </row>
    <row r="11" spans="1:6" ht="60">
      <c r="A11" s="10" t="s">
        <v>39</v>
      </c>
      <c r="B11" s="11">
        <f>48614100/1000</f>
        <v>48614.1</v>
      </c>
      <c r="C11" s="11">
        <f>46246106.28/1000</f>
        <v>46246.10628</v>
      </c>
      <c r="D11" s="11">
        <f>46246106.28/1000</f>
        <v>46246.10628</v>
      </c>
      <c r="E11" s="12">
        <f t="shared" si="0"/>
        <v>95.128998130172107</v>
      </c>
      <c r="F11" s="12">
        <f t="shared" si="1"/>
        <v>95.128998130172107</v>
      </c>
    </row>
    <row r="12" spans="1:6" ht="120">
      <c r="A12" s="13" t="s">
        <v>3</v>
      </c>
      <c r="B12" s="11">
        <f>1962400/1000</f>
        <v>1962.4</v>
      </c>
      <c r="C12" s="11">
        <f>1625506.24/1000</f>
        <v>1625.5062399999999</v>
      </c>
      <c r="D12" s="11">
        <f>1625506.24/1000</f>
        <v>1625.5062399999999</v>
      </c>
      <c r="E12" s="12">
        <f t="shared" si="0"/>
        <v>82.832564207093341</v>
      </c>
      <c r="F12" s="12">
        <f t="shared" si="1"/>
        <v>82.832564207093341</v>
      </c>
    </row>
    <row r="13" spans="1:6" ht="88.5" customHeight="1">
      <c r="A13" s="13" t="s">
        <v>4</v>
      </c>
      <c r="B13" s="11">
        <f>13469100/1000</f>
        <v>13469.1</v>
      </c>
      <c r="C13" s="11">
        <f>13469099.99/1000</f>
        <v>13469.099990000001</v>
      </c>
      <c r="D13" s="11">
        <f>13469099.99/1000</f>
        <v>13469.099990000001</v>
      </c>
      <c r="E13" s="12">
        <f t="shared" si="0"/>
        <v>99.999999925755986</v>
      </c>
      <c r="F13" s="12">
        <f t="shared" si="1"/>
        <v>99.999999925755986</v>
      </c>
    </row>
    <row r="14" spans="1:6" ht="99" customHeight="1">
      <c r="A14" s="13" t="s">
        <v>5</v>
      </c>
      <c r="B14" s="11">
        <f>200510600/1000</f>
        <v>200510.6</v>
      </c>
      <c r="C14" s="11">
        <f>200509021.7/1000</f>
        <v>200509.02169999998</v>
      </c>
      <c r="D14" s="11">
        <f>200509021.7/1000</f>
        <v>200509.02169999998</v>
      </c>
      <c r="E14" s="12">
        <f t="shared" si="0"/>
        <v>99.999212859569511</v>
      </c>
      <c r="F14" s="12">
        <f t="shared" si="1"/>
        <v>99.999212859569511</v>
      </c>
    </row>
    <row r="15" spans="1:6" ht="48">
      <c r="A15" s="10" t="s">
        <v>6</v>
      </c>
      <c r="B15" s="11">
        <f>26600/1000</f>
        <v>26.6</v>
      </c>
      <c r="C15" s="11">
        <f>26599.73/1000</f>
        <v>26.599730000000001</v>
      </c>
      <c r="D15" s="11">
        <f>26599.73/1000</f>
        <v>26.599730000000001</v>
      </c>
      <c r="E15" s="12">
        <f t="shared" si="0"/>
        <v>99.998984962406013</v>
      </c>
      <c r="F15" s="12">
        <f t="shared" si="1"/>
        <v>99.998984962406013</v>
      </c>
    </row>
    <row r="16" spans="1:6" ht="72">
      <c r="A16" s="13" t="s">
        <v>7</v>
      </c>
      <c r="B16" s="11">
        <f>2476548.69/1000</f>
        <v>2476.5486900000001</v>
      </c>
      <c r="C16" s="11">
        <f>2476548.69/1000</f>
        <v>2476.5486900000001</v>
      </c>
      <c r="D16" s="11">
        <f>2476548.69/1000</f>
        <v>2476.5486900000001</v>
      </c>
      <c r="E16" s="12">
        <f t="shared" si="0"/>
        <v>100</v>
      </c>
      <c r="F16" s="12">
        <f t="shared" si="1"/>
        <v>100</v>
      </c>
    </row>
    <row r="17" spans="1:6" ht="87.75" customHeight="1">
      <c r="A17" s="13" t="s">
        <v>8</v>
      </c>
      <c r="B17" s="11">
        <f>16734.98/1000</f>
        <v>16.73498</v>
      </c>
      <c r="C17" s="11">
        <f>16734.98/1000</f>
        <v>16.73498</v>
      </c>
      <c r="D17" s="11">
        <f>16734.98/1000</f>
        <v>16.73498</v>
      </c>
      <c r="E17" s="12">
        <f t="shared" si="0"/>
        <v>100</v>
      </c>
      <c r="F17" s="12">
        <f t="shared" si="1"/>
        <v>100</v>
      </c>
    </row>
    <row r="18" spans="1:6" ht="108">
      <c r="A18" s="13" t="s">
        <v>40</v>
      </c>
      <c r="B18" s="11">
        <f>5500000/1000</f>
        <v>5500</v>
      </c>
      <c r="C18" s="11">
        <f>4711166.19/1000</f>
        <v>4711.1661900000008</v>
      </c>
      <c r="D18" s="11">
        <f>4711166.19/1000</f>
        <v>4711.1661900000008</v>
      </c>
      <c r="E18" s="12">
        <f t="shared" si="0"/>
        <v>85.657567090909097</v>
      </c>
      <c r="F18" s="12">
        <f t="shared" si="1"/>
        <v>85.657567090909097</v>
      </c>
    </row>
    <row r="19" spans="1:6" ht="75" customHeight="1">
      <c r="A19" s="13" t="s">
        <v>29</v>
      </c>
      <c r="B19" s="11">
        <f>11962700/1000</f>
        <v>11962.7</v>
      </c>
      <c r="C19" s="11">
        <f>11960395.95/1000</f>
        <v>11960.39595</v>
      </c>
      <c r="D19" s="11">
        <f>11960395.95/1000</f>
        <v>11960.39595</v>
      </c>
      <c r="E19" s="12">
        <f t="shared" si="0"/>
        <v>99.980739715950406</v>
      </c>
      <c r="F19" s="12">
        <f t="shared" si="1"/>
        <v>99.980739715950406</v>
      </c>
    </row>
    <row r="20" spans="1:6" s="8" customFormat="1">
      <c r="A20" s="14"/>
      <c r="B20" s="15">
        <f>SUM(B8:B19)</f>
        <v>474212.55310000008</v>
      </c>
      <c r="C20" s="15">
        <f>SUM(C8:C19)</f>
        <v>467605.90438999998</v>
      </c>
      <c r="D20" s="15">
        <f>SUM(D8:D19)</f>
        <v>467605.90438999998</v>
      </c>
      <c r="E20" s="15">
        <f>D20*100/B20</f>
        <v>98.606816992335723</v>
      </c>
      <c r="F20" s="15">
        <f>C20*100/B20</f>
        <v>98.606816992335723</v>
      </c>
    </row>
    <row r="21" spans="1:6" ht="64.5" customHeight="1">
      <c r="A21" s="71" t="s">
        <v>35</v>
      </c>
      <c r="B21" s="72"/>
      <c r="C21" s="72"/>
      <c r="D21" s="72"/>
      <c r="E21" s="72"/>
      <c r="F21" s="73"/>
    </row>
    <row r="22" spans="1:6" ht="49.5" customHeight="1">
      <c r="A22" s="10" t="s">
        <v>0</v>
      </c>
      <c r="B22" s="11">
        <f>167784026.12/1000</f>
        <v>167784.02611999999</v>
      </c>
      <c r="C22" s="11">
        <f>166575726.23/1000</f>
        <v>166575.72623</v>
      </c>
      <c r="D22" s="11">
        <f>166575726.23/1000</f>
        <v>166575.72623</v>
      </c>
      <c r="E22" s="12">
        <f t="shared" ref="E22:E50" si="2">D22*100/B22</f>
        <v>99.279848077351645</v>
      </c>
      <c r="F22" s="12">
        <f t="shared" ref="F22:F59" si="3">C22*100/B22</f>
        <v>99.279848077351645</v>
      </c>
    </row>
    <row r="23" spans="1:6" ht="72">
      <c r="A23" s="13" t="s">
        <v>2</v>
      </c>
      <c r="B23" s="11">
        <f>11148716.96/1000</f>
        <v>11148.716960000002</v>
      </c>
      <c r="C23" s="11">
        <f>11148716.96/1000</f>
        <v>11148.716960000002</v>
      </c>
      <c r="D23" s="11">
        <f>11148716.96/1000</f>
        <v>11148.716960000002</v>
      </c>
      <c r="E23" s="12">
        <f t="shared" ref="E23:E30" si="4">D23*100/B23</f>
        <v>100</v>
      </c>
      <c r="F23" s="12">
        <f t="shared" ref="F23:F30" si="5">C23*100/B23</f>
        <v>100</v>
      </c>
    </row>
    <row r="24" spans="1:6" ht="87" customHeight="1">
      <c r="A24" s="13" t="s">
        <v>42</v>
      </c>
      <c r="B24" s="11">
        <f>118896/1000</f>
        <v>118.896</v>
      </c>
      <c r="C24" s="11">
        <f>104349.12/1000</f>
        <v>104.34912</v>
      </c>
      <c r="D24" s="11">
        <f>104349.12/1000</f>
        <v>104.34912</v>
      </c>
      <c r="E24" s="12">
        <f t="shared" si="4"/>
        <v>87.76503835284619</v>
      </c>
      <c r="F24" s="12">
        <f t="shared" si="5"/>
        <v>87.76503835284619</v>
      </c>
    </row>
    <row r="25" spans="1:6" ht="72">
      <c r="A25" s="13" t="s">
        <v>9</v>
      </c>
      <c r="B25" s="11">
        <f>1794000/1000</f>
        <v>1794</v>
      </c>
      <c r="C25" s="11">
        <f>1793989.89/1000</f>
        <v>1793.9898899999998</v>
      </c>
      <c r="D25" s="11">
        <f>1793989.89/1000</f>
        <v>1793.9898899999998</v>
      </c>
      <c r="E25" s="12">
        <f t="shared" si="4"/>
        <v>99.999436454849487</v>
      </c>
      <c r="F25" s="12">
        <f t="shared" si="5"/>
        <v>99.999436454849487</v>
      </c>
    </row>
    <row r="26" spans="1:6" ht="108">
      <c r="A26" s="13" t="s">
        <v>10</v>
      </c>
      <c r="B26" s="11">
        <f>342140500/1000</f>
        <v>342140.5</v>
      </c>
      <c r="C26" s="11">
        <f>342140348.23/1000</f>
        <v>342140.34823</v>
      </c>
      <c r="D26" s="11">
        <f>342140348.23/1000</f>
        <v>342140.34823</v>
      </c>
      <c r="E26" s="12">
        <f t="shared" si="4"/>
        <v>99.99995564103051</v>
      </c>
      <c r="F26" s="12">
        <f t="shared" si="5"/>
        <v>99.99995564103051</v>
      </c>
    </row>
    <row r="27" spans="1:6" ht="72">
      <c r="A27" s="13" t="s">
        <v>43</v>
      </c>
      <c r="B27" s="11">
        <f>1600647.11/1000</f>
        <v>1600.6471100000001</v>
      </c>
      <c r="C27" s="11">
        <f>1600647.11/1000</f>
        <v>1600.6471100000001</v>
      </c>
      <c r="D27" s="11">
        <f>1600647.11/1000</f>
        <v>1600.6471100000001</v>
      </c>
      <c r="E27" s="12">
        <f t="shared" si="4"/>
        <v>100</v>
      </c>
      <c r="F27" s="12">
        <f t="shared" si="5"/>
        <v>100</v>
      </c>
    </row>
    <row r="28" spans="1:6" ht="60">
      <c r="A28" s="10" t="s">
        <v>11</v>
      </c>
      <c r="B28" s="11">
        <f>200000/1000</f>
        <v>200</v>
      </c>
      <c r="C28" s="11">
        <f>200000/1000</f>
        <v>200</v>
      </c>
      <c r="D28" s="11">
        <f>200000/1000</f>
        <v>200</v>
      </c>
      <c r="E28" s="12">
        <f t="shared" si="4"/>
        <v>100</v>
      </c>
      <c r="F28" s="12">
        <f t="shared" si="5"/>
        <v>100</v>
      </c>
    </row>
    <row r="29" spans="1:6" ht="132">
      <c r="A29" s="13" t="s">
        <v>12</v>
      </c>
      <c r="B29" s="11">
        <f>249590.36/1000</f>
        <v>249.59035999999998</v>
      </c>
      <c r="C29" s="11">
        <f>249590.36/1000</f>
        <v>249.59035999999998</v>
      </c>
      <c r="D29" s="11">
        <f>249590.36/1000</f>
        <v>249.59035999999998</v>
      </c>
      <c r="E29" s="12">
        <f t="shared" si="4"/>
        <v>100</v>
      </c>
      <c r="F29" s="12">
        <f t="shared" si="5"/>
        <v>100</v>
      </c>
    </row>
    <row r="30" spans="1:6" ht="72">
      <c r="A30" s="13" t="s">
        <v>28</v>
      </c>
      <c r="B30" s="11">
        <f>28581200/1000</f>
        <v>28581.200000000001</v>
      </c>
      <c r="C30" s="11">
        <f>28581200/1000</f>
        <v>28581.200000000001</v>
      </c>
      <c r="D30" s="11">
        <f>28581200/1000</f>
        <v>28581.200000000001</v>
      </c>
      <c r="E30" s="12">
        <f t="shared" si="4"/>
        <v>100</v>
      </c>
      <c r="F30" s="12">
        <f t="shared" si="5"/>
        <v>100</v>
      </c>
    </row>
    <row r="31" spans="1:6" s="8" customFormat="1">
      <c r="A31" s="7"/>
      <c r="B31" s="9">
        <f>SUM(B22:B30)</f>
        <v>553617.57655</v>
      </c>
      <c r="C31" s="9">
        <f>SUM(C22:C30)</f>
        <v>552394.56790000002</v>
      </c>
      <c r="D31" s="9">
        <f>SUM(D22:D30)</f>
        <v>552394.56790000002</v>
      </c>
      <c r="E31" s="6">
        <f>D31*100/B31</f>
        <v>99.779087821304103</v>
      </c>
      <c r="F31" s="6">
        <f>C31*100/B31</f>
        <v>99.779087821304103</v>
      </c>
    </row>
    <row r="32" spans="1:6" ht="15.6">
      <c r="A32" s="64" t="s">
        <v>33</v>
      </c>
      <c r="B32" s="65"/>
      <c r="C32" s="65"/>
      <c r="D32" s="65"/>
      <c r="E32" s="65"/>
      <c r="F32" s="66"/>
    </row>
    <row r="33" spans="1:6" ht="72">
      <c r="A33" s="13" t="s">
        <v>2</v>
      </c>
      <c r="B33" s="11">
        <f>142825.62/1000</f>
        <v>142.82561999999999</v>
      </c>
      <c r="C33" s="11">
        <f>142825.62/1000</f>
        <v>142.82561999999999</v>
      </c>
      <c r="D33" s="11">
        <f>142825.62/1000</f>
        <v>142.82561999999999</v>
      </c>
      <c r="E33" s="12">
        <f t="shared" si="2"/>
        <v>100</v>
      </c>
      <c r="F33" s="12">
        <f t="shared" si="3"/>
        <v>100</v>
      </c>
    </row>
    <row r="34" spans="1:6" ht="60">
      <c r="A34" s="10" t="s">
        <v>44</v>
      </c>
      <c r="B34" s="11">
        <f>516390/1000</f>
        <v>516.39</v>
      </c>
      <c r="C34" s="11">
        <f>280727/1000</f>
        <v>280.72699999999998</v>
      </c>
      <c r="D34" s="11">
        <f>280727/1000</f>
        <v>280.72699999999998</v>
      </c>
      <c r="E34" s="12">
        <f t="shared" ref="E34:E47" si="6">D34*100/B34</f>
        <v>54.363368771664824</v>
      </c>
      <c r="F34" s="12">
        <f t="shared" ref="F34:F47" si="7">C34*100/B34</f>
        <v>54.363368771664824</v>
      </c>
    </row>
    <row r="35" spans="1:6" ht="60">
      <c r="A35" s="10" t="s">
        <v>13</v>
      </c>
      <c r="B35" s="11">
        <f>3913900/1000</f>
        <v>3913.9</v>
      </c>
      <c r="C35" s="11">
        <f>3913875/1000</f>
        <v>3913.875</v>
      </c>
      <c r="D35" s="11">
        <f>3913875/1000</f>
        <v>3913.875</v>
      </c>
      <c r="E35" s="12">
        <f t="shared" si="6"/>
        <v>99.999361250926185</v>
      </c>
      <c r="F35" s="12">
        <f t="shared" si="7"/>
        <v>99.999361250926185</v>
      </c>
    </row>
    <row r="36" spans="1:6" ht="84">
      <c r="A36" s="13" t="s">
        <v>45</v>
      </c>
      <c r="B36" s="11">
        <f>774500/1000</f>
        <v>774.5</v>
      </c>
      <c r="C36" s="11">
        <f>771500.1/1000</f>
        <v>771.50009999999997</v>
      </c>
      <c r="D36" s="11">
        <f>771500.1/1000</f>
        <v>771.50009999999997</v>
      </c>
      <c r="E36" s="12">
        <f t="shared" si="6"/>
        <v>99.61266623628147</v>
      </c>
      <c r="F36" s="12">
        <f t="shared" si="7"/>
        <v>99.61266623628147</v>
      </c>
    </row>
    <row r="37" spans="1:6" ht="120">
      <c r="A37" s="13" t="s">
        <v>46</v>
      </c>
      <c r="B37" s="11">
        <f>426000/1000</f>
        <v>426</v>
      </c>
      <c r="C37" s="11">
        <f>425878.84/1000</f>
        <v>425.87884000000003</v>
      </c>
      <c r="D37" s="11">
        <f>425878.84/1000</f>
        <v>425.87884000000003</v>
      </c>
      <c r="E37" s="12">
        <f t="shared" si="6"/>
        <v>99.971558685446027</v>
      </c>
      <c r="F37" s="12">
        <f t="shared" si="7"/>
        <v>99.971558685446027</v>
      </c>
    </row>
    <row r="38" spans="1:6" ht="60">
      <c r="A38" s="10" t="s">
        <v>47</v>
      </c>
      <c r="B38" s="11">
        <f>3946600/1000</f>
        <v>3946.6</v>
      </c>
      <c r="C38" s="11">
        <f>3946600/1000</f>
        <v>3946.6</v>
      </c>
      <c r="D38" s="11">
        <f>3946600/1000</f>
        <v>3946.6</v>
      </c>
      <c r="E38" s="12">
        <f t="shared" si="6"/>
        <v>100</v>
      </c>
      <c r="F38" s="12">
        <f t="shared" si="7"/>
        <v>100</v>
      </c>
    </row>
    <row r="39" spans="1:6" ht="49.5" customHeight="1">
      <c r="A39" s="10" t="s">
        <v>14</v>
      </c>
      <c r="B39" s="11">
        <f>955472.68/1000</f>
        <v>955.47268000000008</v>
      </c>
      <c r="C39" s="11">
        <f>955472.67/1000</f>
        <v>955.47266999999999</v>
      </c>
      <c r="D39" s="11">
        <f>955472.67/1000</f>
        <v>955.47266999999999</v>
      </c>
      <c r="E39" s="12">
        <f t="shared" si="6"/>
        <v>99.999998953397579</v>
      </c>
      <c r="F39" s="12">
        <f t="shared" si="7"/>
        <v>99.999998953397579</v>
      </c>
    </row>
    <row r="40" spans="1:6" ht="60">
      <c r="A40" s="10" t="s">
        <v>15</v>
      </c>
      <c r="B40" s="11">
        <f>739657.88/1000</f>
        <v>739.65787999999998</v>
      </c>
      <c r="C40" s="11">
        <f>739657.88/1000</f>
        <v>739.65787999999998</v>
      </c>
      <c r="D40" s="11">
        <f>739657.88/1000</f>
        <v>739.65787999999998</v>
      </c>
      <c r="E40" s="12">
        <f t="shared" si="6"/>
        <v>100</v>
      </c>
      <c r="F40" s="12">
        <f t="shared" si="7"/>
        <v>100</v>
      </c>
    </row>
    <row r="41" spans="1:6" ht="60">
      <c r="A41" s="10" t="s">
        <v>16</v>
      </c>
      <c r="B41" s="11">
        <f>425565/1000</f>
        <v>425.565</v>
      </c>
      <c r="C41" s="11">
        <f>425565/1000</f>
        <v>425.565</v>
      </c>
      <c r="D41" s="11">
        <f>425565/1000</f>
        <v>425.565</v>
      </c>
      <c r="E41" s="12">
        <f t="shared" si="6"/>
        <v>100</v>
      </c>
      <c r="F41" s="12">
        <f t="shared" si="7"/>
        <v>100</v>
      </c>
    </row>
    <row r="42" spans="1:6" ht="60">
      <c r="A42" s="10" t="s">
        <v>17</v>
      </c>
      <c r="B42" s="11">
        <f>2904577.63/1000</f>
        <v>2904.5776299999998</v>
      </c>
      <c r="C42" s="11">
        <f>2904577.63/1000</f>
        <v>2904.5776299999998</v>
      </c>
      <c r="D42" s="11">
        <f>2904577.63/1000</f>
        <v>2904.5776299999998</v>
      </c>
      <c r="E42" s="12">
        <f t="shared" si="6"/>
        <v>100</v>
      </c>
      <c r="F42" s="12">
        <f t="shared" si="7"/>
        <v>100</v>
      </c>
    </row>
    <row r="43" spans="1:6" ht="48">
      <c r="A43" s="10" t="s">
        <v>18</v>
      </c>
      <c r="B43" s="11">
        <f>992985/1000</f>
        <v>992.98500000000001</v>
      </c>
      <c r="C43" s="11">
        <f>992985/1000</f>
        <v>992.98500000000001</v>
      </c>
      <c r="D43" s="11">
        <f>992985/1000</f>
        <v>992.98500000000001</v>
      </c>
      <c r="E43" s="12">
        <f t="shared" si="6"/>
        <v>100</v>
      </c>
      <c r="F43" s="12">
        <f t="shared" si="7"/>
        <v>100</v>
      </c>
    </row>
    <row r="44" spans="1:6" ht="108">
      <c r="A44" s="13" t="s">
        <v>19</v>
      </c>
      <c r="B44" s="11">
        <f>426/1000</f>
        <v>0.42599999999999999</v>
      </c>
      <c r="C44" s="11">
        <f>426/1000</f>
        <v>0.42599999999999999</v>
      </c>
      <c r="D44" s="11">
        <f>426/1000</f>
        <v>0.42599999999999999</v>
      </c>
      <c r="E44" s="12">
        <f t="shared" si="6"/>
        <v>100</v>
      </c>
      <c r="F44" s="12">
        <f t="shared" si="7"/>
        <v>100</v>
      </c>
    </row>
    <row r="45" spans="1:6" ht="96">
      <c r="A45" s="13" t="s">
        <v>20</v>
      </c>
      <c r="B45" s="11">
        <f>330642.9/1000</f>
        <v>330.6429</v>
      </c>
      <c r="C45" s="11">
        <f>330642.9/1000</f>
        <v>330.6429</v>
      </c>
      <c r="D45" s="11">
        <f>330642.9/1000</f>
        <v>330.6429</v>
      </c>
      <c r="E45" s="12">
        <f t="shared" si="6"/>
        <v>100</v>
      </c>
      <c r="F45" s="12">
        <f t="shared" si="7"/>
        <v>100</v>
      </c>
    </row>
    <row r="46" spans="1:6" ht="84">
      <c r="A46" s="13" t="s">
        <v>21</v>
      </c>
      <c r="B46" s="11">
        <f>117661.32/1000</f>
        <v>117.66132</v>
      </c>
      <c r="C46" s="11">
        <f>117661.32/1000</f>
        <v>117.66132</v>
      </c>
      <c r="D46" s="11">
        <f>117661.32/1000</f>
        <v>117.66132</v>
      </c>
      <c r="E46" s="12">
        <f t="shared" si="6"/>
        <v>100</v>
      </c>
      <c r="F46" s="12">
        <f t="shared" si="7"/>
        <v>100</v>
      </c>
    </row>
    <row r="47" spans="1:6" ht="63" customHeight="1">
      <c r="A47" s="13" t="s">
        <v>22</v>
      </c>
      <c r="B47" s="11">
        <f>1691409.6/1000</f>
        <v>1691.4096000000002</v>
      </c>
      <c r="C47" s="11">
        <f>1691409.6/1000</f>
        <v>1691.4096000000002</v>
      </c>
      <c r="D47" s="11">
        <f>1691409.6/1000</f>
        <v>1691.4096000000002</v>
      </c>
      <c r="E47" s="12">
        <f t="shared" si="6"/>
        <v>100</v>
      </c>
      <c r="F47" s="12">
        <f t="shared" si="7"/>
        <v>100</v>
      </c>
    </row>
    <row r="48" spans="1:6" s="8" customFormat="1">
      <c r="A48" s="14"/>
      <c r="B48" s="17">
        <f>SUM(B33:B47)</f>
        <v>17878.613630000003</v>
      </c>
      <c r="C48" s="17">
        <f t="shared" ref="C48:D48" si="8">SUM(C33:C47)</f>
        <v>17639.80456</v>
      </c>
      <c r="D48" s="17">
        <f t="shared" si="8"/>
        <v>17639.80456</v>
      </c>
      <c r="E48" s="16">
        <f t="shared" ref="E48" si="9">D48*100/B48</f>
        <v>98.664275234410312</v>
      </c>
      <c r="F48" s="16">
        <f t="shared" ref="F48" si="10">C48*100/B48</f>
        <v>98.664275234410312</v>
      </c>
    </row>
    <row r="49" spans="1:6" ht="65.25" customHeight="1">
      <c r="A49" s="67" t="s">
        <v>34</v>
      </c>
      <c r="B49" s="68"/>
      <c r="C49" s="68"/>
      <c r="D49" s="68"/>
      <c r="E49" s="68"/>
      <c r="F49" s="69"/>
    </row>
    <row r="50" spans="1:6" ht="51" customHeight="1">
      <c r="A50" s="10" t="s">
        <v>0</v>
      </c>
      <c r="B50" s="11">
        <f>3241609.76/1000</f>
        <v>3241.6097599999998</v>
      </c>
      <c r="C50" s="11">
        <f>3165951.08/1000</f>
        <v>3165.9510800000003</v>
      </c>
      <c r="D50" s="11">
        <f>3165951.08/1000</f>
        <v>3165.9510800000003</v>
      </c>
      <c r="E50" s="5">
        <f t="shared" si="2"/>
        <v>97.666015171425201</v>
      </c>
      <c r="F50" s="5">
        <f t="shared" si="3"/>
        <v>97.666015171425201</v>
      </c>
    </row>
    <row r="51" spans="1:6" ht="72">
      <c r="A51" s="13" t="s">
        <v>2</v>
      </c>
      <c r="B51" s="11">
        <f>138589.07/1000</f>
        <v>138.58907000000002</v>
      </c>
      <c r="C51" s="11">
        <f>138589.06/1000</f>
        <v>138.58905999999999</v>
      </c>
      <c r="D51" s="11">
        <f>138589.06/1000</f>
        <v>138.58905999999999</v>
      </c>
      <c r="E51" s="5">
        <f t="shared" ref="E51:E57" si="11">D51*100/B51</f>
        <v>99.999992784423739</v>
      </c>
      <c r="F51" s="5">
        <f t="shared" ref="F51:F57" si="12">C51*100/B51</f>
        <v>99.999992784423739</v>
      </c>
    </row>
    <row r="52" spans="1:6" ht="84.75" customHeight="1">
      <c r="A52" s="13" t="s">
        <v>42</v>
      </c>
      <c r="B52" s="11">
        <f>6020.97/1000</f>
        <v>6.0209700000000002</v>
      </c>
      <c r="C52" s="11">
        <f>6020.97/1000</f>
        <v>6.0209700000000002</v>
      </c>
      <c r="D52" s="11">
        <f>6020.97/1000</f>
        <v>6.0209700000000002</v>
      </c>
      <c r="E52" s="5">
        <f t="shared" si="11"/>
        <v>100</v>
      </c>
      <c r="F52" s="5">
        <f t="shared" si="12"/>
        <v>100</v>
      </c>
    </row>
    <row r="53" spans="1:6" ht="72">
      <c r="A53" s="13" t="s">
        <v>23</v>
      </c>
      <c r="B53" s="11">
        <f>80235/1000</f>
        <v>80.234999999999999</v>
      </c>
      <c r="C53" s="11">
        <f>80235/1000</f>
        <v>80.234999999999999</v>
      </c>
      <c r="D53" s="11">
        <f>80235/1000</f>
        <v>80.234999999999999</v>
      </c>
      <c r="E53" s="5">
        <f t="shared" si="11"/>
        <v>100</v>
      </c>
      <c r="F53" s="5">
        <f t="shared" si="12"/>
        <v>100</v>
      </c>
    </row>
    <row r="54" spans="1:6" ht="60">
      <c r="A54" s="10" t="s">
        <v>24</v>
      </c>
      <c r="B54" s="11">
        <f>73588/1000</f>
        <v>73.587999999999994</v>
      </c>
      <c r="C54" s="11">
        <f>73588/1000</f>
        <v>73.587999999999994</v>
      </c>
      <c r="D54" s="11">
        <f>73588/1000</f>
        <v>73.587999999999994</v>
      </c>
      <c r="E54" s="5">
        <f t="shared" si="11"/>
        <v>100</v>
      </c>
      <c r="F54" s="5">
        <f t="shared" si="12"/>
        <v>100</v>
      </c>
    </row>
    <row r="55" spans="1:6" ht="60">
      <c r="A55" s="13" t="s">
        <v>25</v>
      </c>
      <c r="B55" s="11">
        <f>5569394.89/1000</f>
        <v>5569.3948899999996</v>
      </c>
      <c r="C55" s="11">
        <f>5419145.71/1000</f>
        <v>5419.1457099999998</v>
      </c>
      <c r="D55" s="11">
        <f>5419145.71/1000</f>
        <v>5419.1457099999998</v>
      </c>
      <c r="E55" s="5">
        <f t="shared" si="11"/>
        <v>97.302235108704963</v>
      </c>
      <c r="F55" s="5">
        <f t="shared" si="12"/>
        <v>97.302235108704963</v>
      </c>
    </row>
    <row r="56" spans="1:6" ht="60">
      <c r="A56" s="10" t="s">
        <v>26</v>
      </c>
      <c r="B56" s="11">
        <f>35590546.18/1000</f>
        <v>35590.546179999998</v>
      </c>
      <c r="C56" s="11">
        <f>34830381.79/1000</f>
        <v>34830.381789999999</v>
      </c>
      <c r="D56" s="11">
        <f>34830381.79/1000</f>
        <v>34830.381789999999</v>
      </c>
      <c r="E56" s="5">
        <f t="shared" si="11"/>
        <v>97.864139577528675</v>
      </c>
      <c r="F56" s="5">
        <f t="shared" si="12"/>
        <v>97.864139577528675</v>
      </c>
    </row>
    <row r="57" spans="1:6" ht="73.5" customHeight="1">
      <c r="A57" s="13" t="s">
        <v>27</v>
      </c>
      <c r="B57" s="11">
        <f>3180100/1000</f>
        <v>3180.1</v>
      </c>
      <c r="C57" s="11">
        <f>3178978.99/1000</f>
        <v>3178.9789900000001</v>
      </c>
      <c r="D57" s="11">
        <f>3178978.99/1000</f>
        <v>3178.9789900000001</v>
      </c>
      <c r="E57" s="5">
        <f t="shared" si="11"/>
        <v>99.964749221722599</v>
      </c>
      <c r="F57" s="5">
        <f t="shared" si="12"/>
        <v>99.964749221722599</v>
      </c>
    </row>
    <row r="58" spans="1:6" s="8" customFormat="1" ht="14.25" customHeight="1">
      <c r="A58" s="7"/>
      <c r="B58" s="9">
        <f>SUM(B50:B57)</f>
        <v>47880.083869999995</v>
      </c>
      <c r="C58" s="9">
        <f>SUM(C50:C57)</f>
        <v>46892.890599999999</v>
      </c>
      <c r="D58" s="9">
        <f>SUM(D50:D57)</f>
        <v>46892.890599999999</v>
      </c>
      <c r="E58" s="6">
        <f t="shared" ref="E58" si="13">D58*100/B58</f>
        <v>97.938196447858473</v>
      </c>
      <c r="F58" s="6">
        <f t="shared" ref="F58" si="14">C58*100/B58</f>
        <v>97.938196447858473</v>
      </c>
    </row>
    <row r="59" spans="1:6" ht="33.75" customHeight="1">
      <c r="A59" s="23" t="s">
        <v>41</v>
      </c>
      <c r="B59" s="24">
        <f>B58+B48+B31+B20</f>
        <v>1093588.82715</v>
      </c>
      <c r="C59" s="24">
        <f t="shared" ref="C59:D59" si="15">C58+C48+C31+C20</f>
        <v>1084533.1674500001</v>
      </c>
      <c r="D59" s="24">
        <f t="shared" si="15"/>
        <v>1084533.1674500001</v>
      </c>
      <c r="E59" s="25">
        <f>D59*100/B59</f>
        <v>99.171931947805291</v>
      </c>
      <c r="F59" s="25">
        <f t="shared" si="3"/>
        <v>99.171931947805291</v>
      </c>
    </row>
  </sheetData>
  <mergeCells count="7">
    <mergeCell ref="E1:F1"/>
    <mergeCell ref="A32:F32"/>
    <mergeCell ref="A49:F49"/>
    <mergeCell ref="A4:F4"/>
    <mergeCell ref="A7:F7"/>
    <mergeCell ref="A21:F21"/>
    <mergeCell ref="D2:F2"/>
  </mergeCells>
  <pageMargins left="0.52" right="0.4" top="0.49" bottom="0.51181102362204722" header="0.17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13</vt:i4>
      </vt:variant>
    </vt:vector>
  </HeadingPairs>
  <TitlesOfParts>
    <vt:vector size="18" baseType="lpstr">
      <vt:lpstr>Бюджет 2019 год</vt:lpstr>
      <vt:lpstr>Бюджет 2018 год</vt:lpstr>
      <vt:lpstr>Бюджет 2017 год </vt:lpstr>
      <vt:lpstr>Бюджет 2016 год </vt:lpstr>
      <vt:lpstr>Бюджет 2015 год</vt:lpstr>
      <vt:lpstr>'Бюджет 2015 год'!FIO</vt:lpstr>
      <vt:lpstr>'Бюджет 2016 год '!FIO</vt:lpstr>
      <vt:lpstr>'Бюджет 2017 год '!FIO</vt:lpstr>
      <vt:lpstr>'Бюджет 2018 год'!FIO</vt:lpstr>
      <vt:lpstr>'Бюджет 2015 год'!SIGN</vt:lpstr>
      <vt:lpstr>'Бюджет 2016 год '!SIGN</vt:lpstr>
      <vt:lpstr>'Бюджет 2017 год '!SIGN</vt:lpstr>
      <vt:lpstr>'Бюджет 2018 год'!SIGN</vt:lpstr>
      <vt:lpstr>'Бюджет 2015 год'!Область_печати</vt:lpstr>
      <vt:lpstr>'Бюджет 2016 год '!Область_печати</vt:lpstr>
      <vt:lpstr>'Бюджет 2017 год '!Область_печати</vt:lpstr>
      <vt:lpstr>'Бюджет 2018 год'!Область_печати</vt:lpstr>
      <vt:lpstr>'Бюджет 2019 год'!Область_печати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Pc8</cp:lastModifiedBy>
  <cp:lastPrinted>2020-03-17T03:13:36Z</cp:lastPrinted>
  <dcterms:created xsi:type="dcterms:W3CDTF">2002-03-11T10:22:12Z</dcterms:created>
  <dcterms:modified xsi:type="dcterms:W3CDTF">2020-03-17T03:14:34Z</dcterms:modified>
</cp:coreProperties>
</file>